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codeName="{99F03F65-6EE5-B2FF-AC1D-F4DDD12603F5}"/>
  <workbookPr codeName="ThisWorkbook" defaultThemeVersion="124226"/>
  <mc:AlternateContent xmlns:mc="http://schemas.openxmlformats.org/markup-compatibility/2006">
    <mc:Choice Requires="x15">
      <x15ac:absPath xmlns:x15ac="http://schemas.microsoft.com/office/spreadsheetml/2010/11/ac" url="Y:\2019 Budget\"/>
    </mc:Choice>
  </mc:AlternateContent>
  <xr:revisionPtr revIDLastSave="0" documentId="8_{7CD91AAB-3312-4593-8399-031E52767FF8}" xr6:coauthVersionLast="43" xr6:coauthVersionMax="43" xr10:uidLastSave="{00000000-0000-0000-0000-000000000000}"/>
  <bookViews>
    <workbookView xWindow="-120" yWindow="-120" windowWidth="29040" windowHeight="15840" xr2:uid="{00000000-000D-0000-FFFF-FFFF00000000}"/>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81029"/>
</workbook>
</file>

<file path=xl/calcChain.xml><?xml version="1.0" encoding="utf-8"?>
<calcChain xmlns="http://schemas.openxmlformats.org/spreadsheetml/2006/main">
  <c r="W10" i="3" l="1"/>
  <c r="V10" i="3"/>
  <c r="P10" i="3" l="1"/>
  <c r="P23" i="3"/>
  <c r="P5" i="3" l="1"/>
  <c r="P22" i="3"/>
  <c r="P18" i="3"/>
  <c r="P17" i="3"/>
  <c r="P15" i="3"/>
  <c r="P8" i="3"/>
  <c r="P12" i="3"/>
  <c r="P9" i="3"/>
  <c r="P7" i="3" l="1"/>
  <c r="P21" i="3"/>
  <c r="P11" i="3"/>
  <c r="P6" i="3"/>
  <c r="U10" i="3"/>
  <c r="U23" i="3"/>
  <c r="S10" i="3"/>
  <c r="S5" i="3"/>
  <c r="T9" i="3"/>
  <c r="S9" i="3"/>
  <c r="S18" i="3"/>
  <c r="S15" i="3"/>
  <c r="S21" i="3"/>
  <c r="S12" i="3"/>
  <c r="S11" i="3"/>
  <c r="S8" i="3"/>
  <c r="S6" i="3"/>
  <c r="M6" i="5" l="1"/>
  <c r="L6" i="5"/>
  <c r="O9" i="6"/>
  <c r="Q12" i="7"/>
  <c r="S12" i="7"/>
  <c r="R12" i="7"/>
  <c r="S9" i="7"/>
  <c r="N9" i="7"/>
  <c r="P9" i="7"/>
  <c r="S10" i="7"/>
  <c r="Q10" i="7"/>
  <c r="L8" i="8" l="1"/>
  <c r="L5" i="8"/>
  <c r="L7" i="8"/>
  <c r="O7" i="8"/>
  <c r="O5" i="8"/>
  <c r="O6" i="8"/>
  <c r="M14" i="9"/>
  <c r="L14" i="9"/>
  <c r="M11" i="9"/>
  <c r="L11" i="9"/>
  <c r="L7" i="9"/>
  <c r="T7" i="2" l="1"/>
  <c r="U7" i="2"/>
  <c r="O7" i="2"/>
  <c r="O6" i="2"/>
  <c r="S13" i="1" l="1"/>
  <c r="K6" i="12" l="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I13" i="12" l="1"/>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N11" i="7" l="1"/>
  <c r="N13" i="7"/>
  <c r="N12" i="7"/>
  <c r="N10" i="7"/>
  <c r="N8" i="7"/>
  <c r="M37" i="6" l="1"/>
  <c r="N37" i="6"/>
  <c r="O37" i="6"/>
  <c r="S37" i="6"/>
  <c r="T37" i="6"/>
  <c r="U37" i="6"/>
  <c r="Y37" i="6"/>
  <c r="Z37" i="6"/>
  <c r="AA37" i="6"/>
  <c r="AE37" i="6"/>
  <c r="AF37" i="6"/>
  <c r="AG37" i="6"/>
  <c r="AF38" i="6" l="1"/>
  <c r="AG38" i="6"/>
  <c r="AE38" i="6"/>
  <c r="L29" i="1"/>
  <c r="N29" i="1" s="1"/>
  <c r="M37" i="1"/>
  <c r="M33" i="1" l="1"/>
  <c r="L33" i="1" l="1"/>
  <c r="N33" i="1" s="1"/>
  <c r="L37" i="1" l="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U4" i="5" s="1"/>
  <c r="M12" i="5"/>
  <c r="N8" i="5" s="1"/>
  <c r="L12" i="5"/>
  <c r="N11" i="5"/>
  <c r="N10" i="5"/>
  <c r="U9" i="5"/>
  <c r="N9" i="5"/>
  <c r="U8" i="5"/>
  <c r="U7" i="5"/>
  <c r="U6" i="5"/>
  <c r="U5" i="5"/>
  <c r="S36" i="1"/>
  <c r="S24" i="1"/>
  <c r="S25" i="1" s="1"/>
  <c r="O19" i="1"/>
  <c r="N7" i="5" l="1"/>
  <c r="N5" i="5"/>
  <c r="S16" i="5"/>
  <c r="M15" i="5"/>
  <c r="N4" i="5"/>
  <c r="N6" i="5"/>
  <c r="U12" i="5"/>
  <c r="M22" i="2"/>
  <c r="L22" i="2" s="1"/>
  <c r="N19" i="1"/>
  <c r="M10" i="8"/>
  <c r="K28" i="8"/>
  <c r="M26" i="8"/>
  <c r="M18" i="8"/>
  <c r="S26" i="1"/>
  <c r="N12" i="5" l="1"/>
  <c r="P19" i="10"/>
  <c r="O28" i="3"/>
  <c r="N28" i="3" s="1"/>
  <c r="M28" i="8"/>
</calcChain>
</file>

<file path=xl/sharedStrings.xml><?xml version="1.0" encoding="utf-8"?>
<sst xmlns="http://schemas.openxmlformats.org/spreadsheetml/2006/main" count="4806" uniqueCount="2352">
  <si>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</si>
  <si>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</si>
  <si>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</si>
  <si>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</si>
  <si>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</si>
  <si>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</si>
  <si>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</si>
  <si>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</si>
  <si>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</si>
  <si>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</si>
  <si>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</si>
  <si>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</si>
  <si>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</si>
  <si>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</si>
  <si>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</si>
  <si>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</si>
  <si>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</si>
  <si>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</si>
  <si>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</si>
  <si>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</si>
  <si>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</si>
  <si>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</si>
  <si>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</si>
  <si>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</si>
  <si>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</si>
  <si>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</si>
  <si>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</si>
  <si>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</si>
  <si>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</si>
  <si>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</si>
  <si>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</si>
  <si>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</si>
  <si>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</si>
  <si>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</si>
  <si>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</si>
  <si>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</si>
  <si>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</si>
  <si>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</si>
  <si>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</si>
  <si>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</si>
  <si>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</si>
  <si>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</si>
  <si>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</si>
  <si>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</si>
  <si>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</si>
  <si>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</si>
  <si>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</si>
  <si>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</si>
  <si>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</si>
  <si>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</si>
  <si>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</si>
  <si>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</si>
  <si>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</si>
  <si>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</si>
  <si>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</si>
  <si>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</si>
  <si>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</si>
  <si>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</si>
  <si>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</si>
  <si>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</si>
  <si>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</si>
  <si>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</si>
  <si>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</si>
  <si>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</si>
  <si>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</si>
  <si>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</si>
  <si>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</si>
  <si>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</si>
  <si>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</si>
  <si>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</si>
  <si>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</si>
  <si>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</si>
  <si>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</si>
  <si>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</si>
  <si>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</si>
  <si>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</si>
  <si>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</si>
  <si>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</si>
  <si>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</si>
  <si>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</si>
  <si>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</si>
  <si>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</si>
  <si>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</si>
  <si>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</si>
  <si>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</si>
  <si>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</si>
  <si>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</si>
  <si>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</si>
  <si>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</si>
  <si>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</si>
  <si>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</si>
  <si>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</si>
  <si>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</si>
  <si>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</si>
  <si>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</si>
  <si>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</si>
  <si>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</si>
  <si>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</si>
  <si>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</si>
  <si>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</si>
  <si>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</si>
  <si>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</si>
  <si>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</si>
  <si>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</si>
  <si>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</si>
  <si>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</si>
  <si>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</si>
  <si>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</si>
  <si>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</si>
  <si>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</si>
  <si>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</si>
  <si>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</si>
  <si>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</si>
  <si>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</si>
  <si>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</si>
  <si>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</si>
  <si>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</si>
  <si>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</si>
  <si>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</si>
  <si>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</si>
  <si>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</si>
  <si>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</si>
  <si>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</si>
  <si>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</si>
  <si>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</si>
  <si>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</si>
  <si>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</si>
  <si>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</si>
  <si>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</si>
  <si>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</si>
  <si>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</si>
  <si>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</si>
  <si>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</si>
  <si>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</si>
  <si>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</si>
  <si>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</si>
  <si>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</si>
  <si>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</si>
  <si>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</si>
  <si>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</si>
  <si>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</si>
  <si>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</si>
  <si>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</si>
  <si>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</si>
  <si>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</si>
  <si>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</si>
  <si>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</si>
  <si>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</si>
  <si>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</si>
  <si>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</si>
  <si>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</si>
  <si>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</si>
  <si>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</si>
  <si>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</si>
  <si>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</si>
  <si>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</si>
  <si>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</si>
  <si>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</si>
  <si>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</si>
  <si>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</si>
  <si>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</si>
  <si>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</si>
  <si>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</si>
  <si>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</si>
  <si>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</si>
  <si>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</si>
  <si>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</si>
  <si>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</si>
  <si>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</si>
  <si>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</si>
  <si>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</si>
  <si>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</si>
  <si>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</si>
  <si>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</si>
  <si>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</si>
  <si>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</si>
  <si>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</si>
  <si>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</si>
  <si>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</si>
  <si>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</si>
  <si>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</si>
  <si>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</si>
  <si>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</si>
  <si>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</si>
  <si>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</si>
  <si>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</si>
  <si>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</si>
  <si>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</si>
  <si>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</si>
  <si>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</si>
  <si>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</si>
  <si>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</si>
  <si>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</si>
  <si>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</si>
  <si>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</si>
  <si>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</si>
  <si>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</si>
  <si>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</si>
  <si>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</si>
  <si>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</si>
  <si>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</si>
  <si>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</si>
  <si>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</si>
  <si>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</si>
  <si>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</si>
  <si>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</si>
  <si>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</si>
  <si>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</si>
  <si>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</si>
  <si>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</si>
  <si>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</si>
  <si>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</si>
  <si>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</si>
  <si>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</si>
  <si>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</si>
  <si>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</si>
  <si>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</si>
  <si>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</si>
  <si>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</si>
  <si>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</si>
  <si>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</si>
  <si>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</si>
  <si>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</si>
  <si>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</si>
  <si>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</si>
  <si>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</si>
  <si>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</si>
  <si>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</si>
  <si>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</si>
  <si>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</si>
  <si>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</si>
  <si>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</si>
  <si>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</si>
  <si>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</si>
  <si>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</si>
  <si>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</si>
  <si>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</si>
  <si>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</si>
  <si>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</si>
  <si>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</si>
  <si>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</si>
  <si>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</si>
  <si>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</si>
  <si>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</si>
  <si>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</si>
  <si>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</si>
  <si>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</si>
  <si>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</si>
  <si>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</si>
  <si>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</si>
  <si>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</si>
  <si>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</si>
  <si>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</si>
  <si>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</si>
  <si>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</si>
  <si>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</si>
  <si>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</si>
  <si>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</si>
  <si>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</si>
  <si>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</si>
  <si>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</si>
  <si>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</si>
  <si>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</si>
  <si>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</si>
  <si>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</si>
  <si>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</si>
  <si>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</si>
  <si>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</si>
  <si>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</si>
  <si>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</si>
  <si>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</si>
  <si>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</si>
  <si>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</si>
  <si>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</si>
  <si>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</si>
  <si>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</si>
  <si>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</si>
  <si>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</si>
  <si>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</si>
  <si>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</si>
  <si>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</si>
  <si>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</si>
  <si>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</si>
  <si>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</si>
  <si>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</si>
  <si>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</si>
  <si>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</si>
  <si>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</si>
  <si>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</si>
  <si>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</si>
  <si>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</si>
  <si>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</si>
  <si>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</si>
  <si>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</si>
  <si>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</si>
  <si>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</si>
  <si>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</si>
  <si>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</si>
  <si>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</si>
  <si>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</si>
  <si>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</si>
  <si>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</si>
  <si>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</si>
  <si>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</si>
  <si>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</si>
  <si>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</si>
  <si>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</si>
  <si>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</si>
  <si>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</si>
  <si>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</si>
  <si>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</si>
  <si>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</si>
  <si>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</si>
  <si>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</si>
  <si>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</si>
  <si>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</si>
  <si>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</si>
  <si>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</si>
  <si>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</si>
  <si>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</si>
  <si>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</si>
  <si>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</si>
  <si>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</si>
  <si>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</si>
  <si>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</si>
  <si>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</si>
  <si>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</si>
  <si>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</si>
  <si>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</si>
  <si>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</si>
  <si>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</si>
  <si>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</si>
  <si>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</si>
  <si>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</si>
  <si>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</si>
  <si>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</si>
  <si>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</si>
  <si>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</si>
  <si>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</si>
  <si>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</si>
  <si>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</si>
  <si>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</si>
  <si>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</si>
  <si>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</si>
  <si>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</si>
  <si>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</si>
  <si>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</si>
  <si>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</si>
  <si>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</si>
  <si>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</si>
  <si>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</si>
  <si>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</si>
  <si>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</si>
  <si>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</si>
  <si>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</si>
  <si>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</si>
  <si>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</si>
  <si>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</si>
  <si>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</si>
  <si>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</si>
  <si>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</si>
  <si>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</si>
  <si>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</si>
  <si>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</si>
  <si>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</si>
  <si>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</si>
  <si>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</si>
  <si>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</si>
  <si>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</si>
  <si>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</si>
  <si>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</si>
  <si>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</si>
  <si>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</si>
  <si>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</si>
  <si>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</si>
  <si>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</si>
  <si>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</si>
  <si>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</si>
  <si>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</si>
  <si>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</si>
  <si>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</si>
  <si>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</si>
  <si>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</si>
  <si>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</si>
  <si>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</si>
  <si>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</si>
  <si>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</si>
  <si>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</si>
  <si>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</si>
  <si>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</si>
  <si>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</si>
  <si>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</si>
  <si>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</si>
  <si>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</si>
  <si>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</si>
  <si>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</si>
  <si>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</si>
  <si>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</si>
  <si>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</si>
  <si>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</si>
  <si>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</si>
  <si>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</si>
  <si>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</si>
  <si>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</si>
  <si>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</si>
  <si>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</si>
  <si>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</si>
  <si>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</si>
  <si>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</si>
  <si>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</si>
  <si>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</si>
  <si>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</si>
  <si>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</si>
  <si>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</si>
  <si>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</si>
  <si>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</si>
  <si>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</si>
  <si>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</si>
  <si>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</si>
  <si>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</si>
  <si>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</si>
  <si>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</si>
  <si>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</si>
  <si>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</si>
  <si>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</si>
  <si>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</si>
  <si>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</si>
  <si>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</si>
  <si>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</si>
  <si>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</si>
  <si>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</si>
  <si>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</si>
  <si>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</si>
  <si>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</si>
  <si>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</si>
  <si>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</si>
  <si>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</si>
  <si>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</si>
  <si>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</si>
  <si>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</si>
  <si>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</si>
  <si>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</si>
  <si>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</si>
  <si>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</si>
  <si>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</si>
  <si>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</si>
  <si>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</si>
  <si>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</si>
  <si>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</si>
  <si>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</si>
  <si>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</si>
  <si>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</si>
  <si>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</si>
  <si>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</si>
  <si>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</si>
  <si>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</si>
  <si>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</si>
  <si>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</si>
  <si>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</si>
  <si>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</si>
  <si>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</si>
  <si>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</si>
  <si>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</si>
  <si>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</si>
  <si>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</si>
  <si>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</si>
  <si>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</si>
  <si>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</si>
  <si>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</si>
  <si>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</si>
  <si>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</si>
  <si>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</si>
  <si>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</si>
  <si>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</si>
  <si>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</si>
  <si>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</si>
  <si>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</si>
  <si>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</si>
  <si>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</si>
  <si>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</si>
  <si>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</si>
  <si>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</si>
  <si>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</si>
  <si>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</si>
  <si>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</si>
  <si>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</si>
  <si>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</si>
  <si>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</si>
  <si>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</si>
  <si>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</si>
  <si>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</si>
  <si>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</si>
  <si>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</si>
  <si>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</si>
  <si>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</si>
  <si>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</si>
  <si>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</si>
  <si>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</si>
  <si>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</si>
  <si>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</si>
  <si>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</si>
  <si>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</si>
  <si>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</si>
  <si>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</si>
  <si>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</si>
  <si>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</si>
  <si>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</si>
  <si>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</si>
  <si>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</si>
  <si>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</si>
  <si>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</si>
  <si>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</si>
  <si>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</si>
  <si>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</si>
  <si>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</si>
  <si>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</si>
  <si>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</si>
  <si>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</si>
  <si>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</si>
  <si>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</si>
  <si>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</si>
  <si>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</si>
  <si>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</si>
  <si>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</si>
  <si>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</si>
  <si>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</si>
  <si>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</si>
  <si>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</si>
  <si>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</si>
  <si>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</si>
  <si>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</si>
  <si>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</si>
  <si>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</si>
  <si>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</si>
  <si>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</si>
  <si>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</si>
  <si>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</si>
  <si>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</si>
  <si>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</si>
  <si>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</si>
  <si>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</si>
  <si>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</si>
  <si>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</si>
  <si>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</si>
  <si>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</si>
  <si>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</si>
  <si>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</si>
  <si>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</si>
  <si>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</si>
  <si>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</si>
  <si>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</si>
  <si>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</si>
  <si>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</si>
  <si>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</si>
  <si>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</si>
  <si>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</si>
  <si>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</si>
  <si>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</si>
  <si>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</si>
  <si>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</si>
  <si>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</si>
  <si>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</si>
  <si>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</si>
  <si>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</si>
  <si>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</si>
  <si>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</si>
  <si>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</si>
  <si>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</si>
  <si>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</si>
  <si>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</si>
  <si>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</si>
  <si>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</si>
  <si>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</si>
  <si>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</si>
  <si>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</si>
  <si>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</si>
  <si>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</si>
  <si>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</si>
  <si>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</si>
  <si>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</si>
  <si>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</si>
  <si>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</si>
  <si>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</si>
  <si>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</si>
  <si>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</si>
  <si>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</si>
  <si>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</si>
  <si>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</si>
  <si>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</si>
  <si>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</si>
  <si>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</si>
  <si>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</si>
  <si>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</si>
  <si>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</si>
  <si>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</si>
  <si>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</si>
  <si>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</si>
  <si>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</si>
  <si>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</si>
  <si>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</si>
  <si>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</si>
  <si>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</si>
  <si>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</si>
  <si>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</si>
  <si>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</si>
  <si>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</si>
  <si>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</si>
  <si>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</si>
  <si>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</si>
  <si>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</si>
  <si>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</si>
  <si>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</si>
  <si>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</si>
  <si>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</si>
  <si>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</si>
  <si>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</si>
  <si>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</si>
  <si>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</si>
  <si>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</si>
  <si>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</si>
  <si>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</si>
  <si>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</si>
  <si>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</si>
  <si>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</si>
  <si>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</si>
  <si>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</si>
  <si>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</si>
  <si>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</si>
  <si>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</si>
  <si>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</si>
  <si>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</si>
  <si>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</si>
  <si>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</si>
  <si>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</si>
  <si>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</si>
  <si>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</si>
  <si>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</si>
  <si>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</si>
  <si>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</si>
  <si>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</si>
  <si>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</si>
  <si>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</si>
  <si>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</si>
  <si>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</si>
  <si>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</si>
  <si>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</si>
  <si>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</si>
  <si>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</si>
  <si>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</si>
  <si>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</si>
  <si>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</si>
  <si>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</si>
  <si>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</si>
  <si>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</si>
  <si>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</si>
  <si>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</si>
  <si>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</si>
  <si>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</si>
  <si>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</si>
  <si>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</si>
  <si>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</si>
  <si>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</si>
  <si>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</si>
  <si>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</si>
  <si>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</si>
  <si>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</si>
  <si>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</si>
  <si>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</si>
  <si>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</si>
  <si>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</si>
  <si>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</si>
  <si>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</si>
  <si>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</si>
  <si>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</si>
  <si>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</si>
  <si>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</si>
  <si>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</si>
  <si>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</si>
  <si>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</si>
  <si>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</si>
  <si>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</si>
  <si>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</si>
  <si>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</si>
  <si>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</si>
  <si>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</si>
  <si>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</si>
  <si>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</si>
  <si>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</si>
  <si>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</si>
  <si>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</si>
  <si>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</si>
  <si>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</si>
  <si>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</si>
  <si>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</si>
  <si>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</si>
  <si>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</si>
  <si>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</si>
  <si>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</si>
  <si>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</si>
  <si>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</si>
  <si>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</si>
  <si>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</si>
  <si>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</si>
  <si>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</si>
  <si>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</si>
  <si>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</si>
  <si>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</si>
  <si>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</si>
  <si>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</si>
  <si>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</si>
  <si>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</si>
  <si>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</si>
  <si>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</si>
  <si>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</si>
  <si>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</si>
  <si>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</si>
  <si>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</si>
  <si>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</si>
  <si>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</si>
  <si>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</si>
  <si>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</si>
  <si>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</si>
  <si>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</si>
  <si>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</si>
  <si>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</si>
  <si>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</si>
  <si>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</si>
  <si>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</si>
  <si>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</si>
  <si>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</si>
  <si>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</si>
  <si>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</si>
  <si>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</si>
  <si>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</si>
  <si>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</si>
  <si>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</si>
  <si>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</si>
  <si>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</si>
  <si>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</si>
  <si>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</si>
  <si>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</si>
  <si>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</si>
  <si>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</si>
  <si>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</si>
  <si>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</si>
  <si>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</si>
  <si>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</si>
  <si>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</si>
  <si>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</si>
  <si>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</si>
  <si>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</si>
  <si>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</si>
  <si>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</si>
  <si>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</si>
  <si>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</si>
  <si>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</si>
  <si>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</si>
  <si>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</si>
  <si>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</si>
  <si>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</si>
  <si>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</si>
  <si>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</si>
  <si>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</si>
  <si>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</si>
  <si>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</si>
  <si>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</si>
  <si>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</si>
  <si>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</si>
  <si>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</si>
  <si>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</si>
  <si>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</si>
  <si>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</si>
  <si>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</si>
  <si>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</si>
  <si>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</si>
  <si>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</si>
  <si>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</si>
  <si>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</si>
  <si>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</si>
  <si>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</si>
  <si>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</si>
  <si>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</si>
  <si>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</si>
  <si>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</si>
  <si>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</si>
  <si>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</si>
  <si>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</si>
  <si>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</si>
  <si>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</si>
  <si>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</si>
  <si>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</si>
  <si>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</si>
  <si>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</si>
  <si>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</si>
  <si>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</si>
  <si>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</si>
  <si>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</si>
  <si>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</si>
  <si>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</si>
  <si>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</si>
  <si>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</si>
  <si>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</si>
  <si>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</si>
  <si>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</si>
  <si>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</si>
  <si>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</si>
  <si>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</si>
  <si>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</si>
  <si>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</si>
  <si>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</si>
  <si>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</si>
  <si>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</si>
  <si>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</si>
  <si>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</si>
  <si>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</si>
  <si>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</si>
  <si>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</si>
  <si>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</si>
  <si>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</si>
  <si>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</si>
  <si>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</si>
  <si>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</si>
  <si>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</si>
  <si>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</si>
  <si>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</si>
  <si>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</si>
  <si>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</si>
  <si>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</si>
  <si>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</si>
  <si>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</si>
  <si>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</si>
  <si>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</si>
  <si>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</si>
  <si>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</si>
  <si>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</si>
  <si>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</si>
  <si>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</si>
  <si>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</si>
  <si>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</si>
  <si>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</si>
  <si>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</si>
  <si>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</si>
  <si>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</si>
  <si>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</si>
  <si>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</si>
  <si>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</si>
  <si>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</si>
  <si>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</si>
  <si>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</si>
  <si>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</si>
  <si>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</si>
  <si>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</si>
  <si>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</si>
  <si>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</si>
  <si>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</si>
  <si>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</si>
  <si>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</si>
  <si>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</si>
  <si>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</si>
  <si>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</si>
  <si>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</si>
  <si>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</si>
  <si>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</si>
  <si>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</si>
  <si>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</si>
  <si>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</si>
  <si>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</si>
  <si>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</si>
  <si>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</si>
  <si>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</si>
  <si>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</si>
  <si>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</si>
  <si>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</si>
  <si>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</si>
  <si>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</si>
  <si>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</si>
  <si>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</si>
  <si>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</si>
  <si>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</si>
  <si>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</si>
  <si>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</si>
  <si>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</si>
  <si>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</si>
  <si>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</si>
  <si>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</si>
  <si>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</si>
  <si>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</si>
  <si>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</si>
  <si>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</si>
  <si>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</si>
  <si>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</si>
  <si>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</si>
  <si>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</si>
  <si>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</si>
  <si>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</si>
  <si>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</si>
  <si>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</si>
  <si>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</si>
  <si>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</si>
  <si>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</si>
  <si>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</si>
  <si>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</si>
  <si>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</si>
  <si>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</si>
  <si>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</si>
  <si>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</si>
  <si>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</si>
  <si>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</si>
  <si>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</si>
  <si>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</si>
  <si>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</si>
  <si>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</si>
  <si>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</si>
  <si>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</si>
  <si>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</si>
  <si>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</si>
  <si>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</si>
  <si>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</si>
  <si>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</si>
  <si>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</si>
  <si>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</si>
  <si>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</si>
  <si>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</si>
  <si>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</si>
  <si>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</si>
  <si>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</si>
  <si>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</si>
  <si>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</si>
  <si>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</si>
  <si>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</si>
  <si>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</si>
  <si>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</si>
  <si>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</si>
  <si>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</si>
  <si>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</si>
  <si>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</si>
  <si>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</si>
  <si>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</si>
  <si>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</si>
  <si>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</si>
  <si>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</si>
  <si>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</si>
  <si>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</si>
  <si>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</si>
  <si>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</si>
  <si>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</si>
  <si>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</si>
  <si>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</si>
  <si>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</si>
  <si>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</si>
  <si>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</si>
  <si>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</si>
  <si>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</si>
  <si>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</si>
  <si>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</si>
  <si>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</si>
  <si>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</si>
  <si>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</si>
  <si>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</si>
  <si>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</si>
  <si>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</si>
  <si>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</si>
  <si>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</si>
  <si>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</si>
  <si>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</si>
  <si>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</si>
  <si>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</si>
  <si>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</si>
  <si>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</si>
  <si>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</si>
  <si>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</si>
  <si>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</si>
  <si>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</si>
  <si>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</si>
  <si>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</si>
  <si>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</si>
  <si>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</si>
  <si>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</si>
  <si>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</si>
  <si>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</si>
  <si>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</si>
  <si>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</si>
  <si>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</si>
  <si>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</si>
  <si>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</si>
  <si>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</si>
  <si>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</si>
  <si>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</si>
  <si>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</si>
  <si>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</si>
  <si>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</si>
  <si>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</si>
  <si>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</si>
  <si>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</si>
  <si>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</si>
  <si>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</si>
  <si>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</si>
  <si>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</si>
  <si>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</si>
  <si>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</si>
  <si>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</si>
  <si>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</si>
  <si>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</si>
  <si>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</si>
  <si>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</si>
  <si>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</si>
  <si>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</si>
  <si>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</si>
  <si>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</si>
  <si>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</si>
  <si>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</si>
  <si>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</si>
  <si>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</si>
  <si>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</si>
  <si>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</si>
  <si>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</si>
  <si>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</si>
  <si>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</si>
  <si>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</si>
  <si>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</si>
  <si>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</si>
  <si>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</si>
  <si>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</si>
  <si>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</si>
  <si>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</si>
  <si>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</si>
  <si>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</si>
  <si>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</si>
  <si>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</si>
  <si>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</si>
  <si>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</si>
  <si>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</si>
  <si>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</si>
  <si>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</si>
  <si>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</si>
  <si>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</si>
  <si>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</si>
  <si>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</si>
  <si>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</si>
  <si>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</si>
  <si>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</si>
  <si>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</si>
  <si>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</si>
  <si>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</si>
  <si>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</si>
  <si>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</si>
  <si>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</si>
  <si>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</si>
  <si>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</si>
  <si>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</si>
  <si>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</si>
  <si>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</si>
  <si>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</si>
  <si>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</si>
  <si>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</si>
  <si>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</si>
  <si>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</si>
  <si>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</si>
  <si>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</si>
  <si>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</si>
  <si>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</si>
  <si>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</si>
  <si>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</si>
  <si>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</si>
  <si>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</si>
  <si>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</si>
  <si>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</si>
  <si>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</si>
  <si>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</si>
  <si>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</si>
  <si>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</si>
  <si>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</si>
  <si>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</si>
  <si>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</si>
  <si>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</si>
  <si>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</si>
  <si>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</si>
  <si>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</si>
  <si>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</si>
  <si>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</si>
  <si>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</si>
  <si>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</si>
  <si>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</si>
  <si>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</si>
  <si>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</si>
  <si>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</si>
  <si>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</si>
  <si>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</si>
  <si>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</si>
  <si>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</si>
  <si>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</si>
  <si>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</si>
  <si>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</si>
  <si>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</si>
  <si>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</si>
  <si>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</si>
  <si>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</si>
  <si>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</si>
  <si>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</si>
  <si>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</si>
  <si>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</si>
  <si>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</si>
  <si>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</si>
  <si>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</si>
  <si>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</si>
  <si>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</si>
  <si>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</si>
  <si>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</si>
  <si>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</si>
  <si>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</si>
  <si>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</si>
  <si>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</si>
  <si>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</si>
  <si>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</si>
  <si>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</si>
  <si>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</si>
  <si>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</si>
  <si>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</si>
  <si>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</si>
  <si>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</si>
  <si>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</si>
  <si>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</si>
  <si>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</si>
  <si>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</si>
  <si>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</si>
  <si>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</si>
  <si>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</si>
  <si>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</si>
  <si>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</si>
  <si>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</si>
  <si>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</si>
  <si>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</si>
  <si>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</si>
  <si>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</si>
  <si>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</si>
  <si>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</si>
  <si>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</si>
  <si>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</si>
  <si>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</si>
  <si>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</si>
  <si>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</si>
  <si>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</si>
  <si>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</si>
  <si>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</si>
  <si>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</si>
  <si>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</si>
  <si>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</si>
  <si>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</si>
  <si>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</si>
  <si>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</si>
  <si>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</si>
  <si>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</si>
  <si>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</si>
  <si>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</si>
  <si>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</si>
  <si>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</si>
  <si>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</si>
  <si>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</si>
  <si>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</si>
  <si>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</si>
  <si>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</si>
  <si>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</si>
  <si>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</si>
  <si>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</si>
  <si>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</si>
  <si>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</si>
  <si>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</si>
  <si>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</si>
  <si>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</si>
  <si>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</si>
  <si>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</si>
  <si>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</si>
  <si>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</si>
  <si>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</si>
  <si>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</si>
  <si>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</si>
  <si>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</si>
  <si>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</si>
  <si>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</si>
  <si>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</si>
  <si>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</si>
  <si>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</si>
  <si>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</si>
  <si>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</si>
  <si>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</si>
  <si>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</si>
  <si>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</si>
  <si>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</si>
  <si>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</si>
  <si>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</si>
  <si>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</si>
  <si>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</si>
  <si>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</si>
  <si>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</si>
  <si>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</si>
  <si>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</si>
  <si>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</si>
  <si>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</si>
  <si>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</si>
  <si>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</si>
  <si>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</si>
  <si>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</si>
  <si>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</si>
  <si>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</si>
  <si>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</si>
  <si>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</si>
  <si>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</si>
  <si>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</si>
  <si>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</si>
  <si>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</si>
  <si>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</si>
  <si>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</si>
  <si>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</si>
  <si>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</si>
  <si>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</si>
  <si>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</si>
  <si>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</si>
  <si>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</si>
  <si>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</si>
  <si>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</si>
  <si>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</si>
  <si>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</si>
  <si>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</si>
  <si>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</si>
  <si>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</si>
  <si>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</si>
  <si>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</si>
  <si>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</si>
  <si>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</si>
  <si>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</si>
  <si>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</si>
  <si>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</si>
  <si>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</si>
  <si>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</si>
  <si>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</si>
  <si>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</si>
  <si>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</si>
  <si>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</si>
  <si>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</si>
  <si>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</si>
  <si>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</si>
  <si>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</si>
  <si>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</si>
  <si>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</si>
  <si>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</si>
  <si>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</si>
  <si>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</si>
  <si>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</si>
  <si>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</si>
  <si>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</si>
  <si>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</si>
  <si>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</si>
  <si>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</si>
  <si>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</si>
  <si>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</si>
  <si>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</si>
  <si>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</si>
  <si>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</si>
  <si>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</si>
  <si>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</si>
  <si>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</si>
  <si>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</si>
  <si>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</si>
  <si>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</si>
  <si>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</si>
  <si>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</si>
  <si>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</si>
  <si>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</si>
  <si>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</si>
  <si>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</si>
  <si>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</si>
  <si>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</si>
  <si>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</si>
  <si>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</si>
  <si>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</si>
  <si>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</si>
  <si>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</si>
  <si>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</si>
  <si>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</si>
  <si>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</si>
  <si>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</si>
  <si>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</si>
  <si>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</si>
  <si>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</si>
  <si>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</si>
  <si>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</si>
  <si>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</si>
  <si>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</si>
  <si>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</si>
  <si>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</si>
  <si>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</si>
  <si>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</si>
  <si>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</si>
  <si>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</si>
  <si>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</si>
  <si>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</si>
  <si>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</si>
  <si>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</si>
  <si>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</si>
  <si>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</si>
  <si>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</si>
  <si>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</si>
  <si>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</si>
  <si>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</si>
  <si>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</si>
  <si>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</si>
  <si>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</si>
  <si>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</si>
  <si>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</si>
  <si>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</si>
  <si>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</si>
  <si>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</si>
  <si>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</si>
  <si>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</si>
  <si>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</si>
  <si>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</si>
  <si>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</si>
  <si>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</si>
  <si>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</si>
  <si>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</si>
  <si>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</si>
  <si>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</si>
  <si>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</si>
  <si>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</si>
  <si>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</si>
  <si>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</si>
  <si>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</si>
  <si>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</si>
  <si>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</si>
  <si>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</si>
  <si>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</si>
  <si>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</si>
  <si>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</si>
  <si>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</si>
  <si>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</si>
  <si>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</si>
  <si>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</si>
  <si>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</si>
  <si>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</si>
  <si>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</si>
  <si>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</si>
  <si>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</si>
  <si>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</si>
  <si>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</si>
  <si>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</si>
  <si>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</si>
  <si>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</si>
  <si>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</si>
  <si>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</si>
  <si>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</si>
  <si>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</si>
  <si>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</si>
  <si>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</si>
  <si>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</si>
  <si>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</si>
  <si>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</si>
  <si>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</si>
  <si>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</si>
  <si>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</si>
  <si>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</si>
  <si>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</si>
  <si>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</si>
  <si>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</si>
  <si>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</si>
  <si>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</si>
  <si>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</si>
  <si>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</si>
  <si>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</si>
  <si>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</si>
  <si>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</si>
  <si>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</si>
  <si>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</si>
  <si>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</si>
  <si>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</si>
  <si>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</si>
  <si>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</si>
  <si>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</si>
  <si>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</si>
  <si>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</si>
  <si>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</si>
  <si>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</si>
  <si>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</si>
  <si>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</si>
  <si>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</si>
  <si>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</si>
  <si>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</si>
  <si>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</si>
  <si>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</si>
  <si>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</si>
  <si>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</si>
  <si>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</si>
  <si>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</si>
  <si>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</si>
  <si>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</si>
  <si>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</si>
  <si>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</si>
  <si>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</si>
  <si>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</si>
  <si>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</si>
  <si>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</si>
  <si>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</si>
  <si>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</si>
  <si>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</si>
  <si>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</si>
  <si>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</si>
  <si>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</si>
  <si>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</si>
  <si>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</si>
  <si>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</si>
  <si>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</si>
  <si>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</si>
  <si>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</si>
  <si>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</si>
  <si>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</si>
  <si>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</si>
  <si>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</si>
  <si>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</si>
  <si>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</si>
  <si>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</si>
  <si>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</si>
  <si>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</si>
  <si>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</si>
  <si>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</si>
  <si>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</si>
  <si>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</si>
  <si>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</si>
  <si>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</si>
  <si>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</si>
  <si>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</si>
  <si>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</si>
  <si>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</si>
  <si>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</si>
  <si>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</si>
  <si>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</si>
  <si>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</si>
  <si>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</si>
  <si>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</si>
  <si>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</si>
  <si>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</si>
  <si>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</si>
  <si>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</si>
  <si>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</si>
  <si>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</si>
  <si>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</si>
  <si>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</si>
  <si>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</si>
  <si>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</si>
  <si>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</si>
  <si>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</si>
  <si>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</si>
  <si>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</si>
  <si>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</si>
  <si>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</si>
  <si>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</si>
  <si>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</si>
  <si>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</si>
  <si>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</si>
  <si>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</si>
  <si>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</si>
  <si>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</si>
  <si>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</si>
  <si>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</si>
  <si>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</si>
  <si>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</si>
  <si>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</si>
  <si>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</si>
  <si>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</si>
  <si>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</si>
  <si>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</si>
  <si>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</si>
  <si>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</si>
  <si>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</si>
  <si>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</si>
  <si>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</si>
  <si>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</si>
  <si>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</si>
  <si>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</si>
  <si>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</si>
  <si>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</si>
  <si>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</si>
  <si>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</si>
  <si>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</si>
  <si>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</si>
  <si>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</si>
  <si>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</si>
  <si>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</si>
  <si>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</si>
  <si>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</si>
  <si>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</si>
  <si>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</si>
  <si>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</si>
  <si>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</si>
  <si>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</si>
  <si>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</si>
  <si>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</si>
  <si>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</si>
  <si>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</si>
  <si>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</si>
  <si>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</si>
  <si>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</si>
  <si>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</si>
  <si>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</si>
  <si>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</si>
  <si>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</si>
  <si>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</si>
  <si>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</si>
  <si>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</si>
  <si>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</si>
  <si>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</si>
  <si>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</si>
  <si>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</si>
  <si>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</si>
  <si>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</si>
  <si>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</si>
  <si>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</si>
  <si>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</si>
  <si>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</si>
  <si>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</si>
  <si>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</si>
  <si>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</si>
  <si>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</si>
  <si>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</si>
  <si>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</si>
  <si>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</si>
  <si>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</si>
  <si>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</si>
  <si>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</si>
  <si>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</si>
  <si>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</si>
  <si>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</si>
  <si>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</si>
  <si>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</si>
  <si>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</si>
  <si>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</si>
  <si>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</si>
  <si>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</si>
  <si>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</si>
  <si>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</si>
  <si>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</si>
  <si>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</si>
  <si>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</si>
  <si>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</si>
  <si>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</si>
  <si>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</si>
  <si>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</si>
  <si>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</si>
  <si>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</si>
  <si>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</si>
  <si>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</si>
  <si>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</si>
  <si>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</si>
  <si>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</si>
  <si>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</si>
  <si>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</si>
  <si>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</si>
  <si>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</si>
  <si>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</si>
  <si>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</si>
  <si>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</si>
  <si>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</si>
  <si>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</si>
  <si>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</si>
  <si>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</si>
  <si>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</si>
  <si>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</si>
  <si>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</si>
  <si>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</si>
  <si>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</si>
  <si>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</si>
  <si>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</si>
  <si>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</si>
  <si>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</si>
  <si>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</si>
  <si>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</si>
  <si>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</si>
  <si>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</si>
  <si>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</si>
  <si>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</si>
  <si>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</si>
  <si>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</si>
  <si>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</si>
  <si>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</si>
  <si>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</si>
  <si>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</si>
  <si>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</si>
  <si>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</si>
  <si>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</si>
  <si>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</si>
  <si>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</si>
  <si>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</si>
  <si>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</si>
  <si>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</si>
  <si>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</si>
  <si>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</si>
  <si>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</si>
  <si>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</si>
  <si>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</si>
  <si>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</si>
  <si>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</si>
  <si>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</si>
  <si>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</si>
  <si>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</si>
  <si>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</si>
  <si>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</si>
  <si>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</si>
  <si>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</si>
  <si>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</si>
  <si>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</si>
  <si>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</si>
  <si>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</si>
  <si>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</si>
  <si>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</si>
  <si>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</si>
  <si>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</si>
  <si>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</si>
  <si>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</si>
  <si>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</si>
  <si>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</si>
  <si>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</si>
  <si>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</si>
  <si>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</si>
  <si>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</si>
  <si>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</si>
  <si>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</si>
  <si>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</si>
  <si>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</si>
  <si>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</si>
  <si>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</si>
  <si>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</si>
  <si>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</si>
  <si>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</si>
  <si>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</si>
  <si>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</si>
  <si>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</si>
  <si>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</si>
  <si>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</si>
  <si>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</si>
  <si>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</si>
  <si>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</si>
  <si>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</si>
  <si>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</si>
  <si>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</si>
  <si>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</si>
  <si>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</si>
  <si>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</si>
  <si>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</si>
  <si>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</si>
  <si>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</si>
  <si>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</si>
  <si>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</si>
  <si>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</si>
  <si>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</si>
  <si>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</si>
  <si>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</si>
  <si>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</si>
  <si>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</si>
  <si>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</si>
  <si>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</si>
  <si>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</si>
  <si>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</si>
  <si>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</si>
  <si>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</si>
  <si>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</si>
  <si>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</si>
  <si>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</si>
  <si>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</si>
  <si>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</si>
  <si>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</si>
  <si>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</si>
  <si>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</si>
  <si>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</si>
  <si>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</si>
  <si>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</si>
  <si>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</si>
  <si>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</si>
  <si>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</si>
  <si>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</si>
  <si>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</si>
  <si>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</si>
  <si>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</si>
  <si>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</si>
  <si>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</si>
  <si>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</si>
  <si>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</si>
  <si>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</si>
  <si>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</si>
  <si>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</si>
  <si>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</si>
  <si>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</si>
  <si>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</si>
  <si>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</si>
  <si>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</si>
  <si>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</si>
  <si>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</si>
  <si>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</si>
  <si>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</si>
  <si>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</si>
  <si>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</si>
  <si>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</si>
  <si>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</si>
  <si>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</si>
  <si>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</si>
  <si>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</si>
  <si>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</si>
  <si>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</si>
  <si>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</si>
  <si>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</si>
  <si>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</si>
  <si>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</si>
  <si>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</si>
  <si>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</si>
  <si>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</si>
  <si>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</si>
  <si>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</si>
  <si>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</si>
  <si>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</si>
  <si>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</si>
  <si>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</si>
  <si>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</si>
  <si>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</si>
  <si>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</si>
  <si>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</si>
  <si>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</si>
  <si>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</si>
  <si>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</si>
  <si>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</si>
  <si>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</si>
  <si>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</si>
  <si>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</si>
  <si>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</si>
  <si>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</si>
  <si>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</si>
  <si>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</si>
  <si>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</si>
  <si>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</si>
  <si>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</si>
  <si>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</si>
  <si>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</si>
  <si>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</si>
  <si>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</si>
  <si>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</si>
  <si>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</si>
  <si>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</si>
  <si>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</si>
  <si>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</si>
  <si>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</si>
  <si>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</si>
  <si>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</si>
  <si>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</si>
  <si>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</si>
  <si>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</si>
  <si>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</si>
  <si>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</si>
  <si>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</si>
  <si>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</si>
  <si>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</si>
  <si>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</si>
  <si>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</si>
  <si>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</si>
  <si>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</si>
  <si>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</si>
  <si>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</si>
  <si>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</si>
  <si>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</si>
  <si>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</si>
  <si>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</si>
  <si>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</si>
  <si>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</si>
  <si>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</si>
  <si>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</si>
  <si>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</si>
  <si>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</si>
  <si>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</si>
  <si>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</si>
  <si>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</si>
  <si>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</si>
  <si>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</si>
  <si>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</si>
  <si>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</si>
  <si>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</si>
  <si>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</si>
  <si>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</si>
  <si>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</si>
  <si>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</si>
  <si>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</si>
  <si>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</si>
  <si>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</si>
  <si>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</si>
  <si>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</si>
  <si>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</si>
  <si>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</si>
  <si>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</si>
  <si>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</si>
  <si>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</si>
  <si>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</si>
  <si>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</si>
  <si>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</si>
  <si>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</si>
  <si>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</si>
  <si>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</si>
  <si>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</si>
  <si>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</si>
  <si>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</si>
  <si>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</si>
  <si>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</si>
  <si>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</si>
  <si>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</si>
  <si>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</si>
  <si>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</si>
  <si>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</si>
  <si>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</si>
  <si>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</si>
  <si>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</si>
  <si>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</si>
  <si>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</si>
  <si>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</si>
  <si>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</si>
  <si>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</si>
  <si>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</si>
  <si>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</si>
  <si>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</si>
  <si>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</si>
  <si>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</si>
  <si>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</si>
  <si>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</si>
  <si>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</si>
  <si>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</si>
  <si>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</si>
  <si>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</si>
  <si>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</si>
  <si>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</si>
  <si>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</si>
  <si>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</si>
  <si>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</si>
  <si>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</si>
  <si>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</si>
  <si>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</si>
  <si>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</si>
  <si>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</si>
  <si>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</si>
  <si>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</si>
  <si>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</si>
  <si>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</si>
  <si>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</si>
  <si>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</si>
  <si>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</si>
  <si>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</si>
  <si>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</si>
  <si>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</si>
  <si>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</si>
  <si>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</si>
  <si>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</si>
  <si>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</si>
  <si>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</si>
  <si>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</si>
  <si>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</si>
  <si>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</si>
  <si>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</si>
  <si>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</si>
  <si>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</si>
  <si>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</si>
  <si>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</si>
  <si>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</si>
  <si>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</si>
  <si>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</si>
  <si>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</si>
  <si>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</si>
  <si>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</si>
  <si>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</si>
  <si>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</si>
  <si>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</si>
  <si>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</si>
  <si>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</si>
  <si>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</si>
  <si>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</si>
  <si>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</si>
  <si>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</si>
  <si>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</si>
  <si>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</si>
  <si>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</si>
  <si>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</si>
  <si>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</si>
  <si>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</si>
  <si>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</si>
  <si>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</si>
  <si>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</si>
  <si>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</si>
  <si>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</si>
  <si>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</si>
  <si>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</si>
  <si>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</si>
  <si>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</si>
  <si>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</si>
  <si>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</si>
  <si>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</si>
  <si>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</si>
  <si>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</si>
  <si>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</si>
  <si>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</si>
  <si>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</si>
  <si>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</si>
  <si>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</si>
  <si>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</si>
  <si>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</si>
  <si>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</si>
  <si>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</si>
  <si>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</si>
  <si>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</si>
  <si>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</si>
  <si>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</si>
  <si>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</si>
  <si>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</si>
  <si>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</si>
  <si>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</si>
  <si>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</si>
  <si>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</si>
  <si>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</si>
  <si>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</si>
  <si>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</si>
  <si>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</si>
  <si>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</si>
  <si>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</si>
  <si>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</si>
  <si>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</si>
  <si>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</si>
  <si>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</si>
  <si>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</si>
  <si>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</si>
  <si>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</si>
  <si>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</si>
  <si>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</si>
  <si>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</si>
  <si>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</si>
  <si>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</si>
  <si>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</si>
  <si>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</si>
  <si>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</si>
  <si>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</si>
  <si>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</si>
  <si>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</si>
  <si>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</si>
  <si>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</si>
  <si>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</si>
  <si>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</si>
  <si>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</si>
  <si>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</si>
  <si>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</si>
  <si>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</si>
  <si>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</si>
  <si>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</si>
  <si>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</si>
  <si>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</si>
  <si>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</si>
  <si>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</si>
  <si>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</si>
  <si>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</si>
  <si>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</si>
  <si>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</si>
  <si>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</si>
  <si>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</si>
  <si>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</si>
  <si>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</si>
  <si>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</si>
  <si>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</si>
  <si>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</si>
  <si>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</si>
  <si>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</si>
  <si>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</si>
  <si>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</si>
  <si>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</si>
  <si>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</si>
  <si>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</si>
  <si>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</si>
  <si>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</si>
  <si>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</si>
  <si>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</si>
  <si>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</si>
  <si>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</si>
  <si>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</si>
  <si>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</si>
  <si>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</si>
  <si>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</si>
  <si>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</si>
  <si>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</si>
  <si>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</si>
  <si>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</si>
  <si>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</si>
  <si>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</si>
  <si>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</si>
  <si>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</si>
  <si>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</si>
  <si>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</si>
  <si>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</si>
  <si>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</si>
  <si>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</si>
  <si>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</si>
  <si>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</si>
  <si>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</si>
  <si>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</si>
  <si>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</si>
  <si>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</si>
  <si>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</si>
  <si>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</si>
  <si>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</si>
  <si>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</si>
  <si>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</si>
  <si>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</si>
  <si>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</si>
  <si>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</si>
  <si>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</si>
  <si>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</si>
  <si>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</si>
  <si>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</si>
  <si>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</si>
  <si>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</si>
  <si>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</si>
  <si>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</si>
  <si>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</si>
  <si>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</si>
  <si>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</si>
  <si>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</si>
  <si>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</si>
  <si>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</si>
  <si>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</si>
  <si>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</si>
  <si>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</si>
  <si>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</si>
  <si>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</si>
  <si>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</si>
  <si>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</si>
  <si>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</si>
  <si>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</si>
  <si>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</si>
  <si>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</si>
  <si>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</si>
  <si>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</si>
  <si>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</si>
  <si>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</si>
  <si>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</si>
  <si>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</si>
  <si>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</si>
  <si>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</si>
  <si>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</si>
  <si>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</si>
  <si>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</si>
  <si>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</si>
  <si>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</si>
  <si>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</si>
  <si>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</si>
  <si>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</si>
  <si>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</si>
  <si>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</si>
  <si>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</si>
  <si>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</si>
  <si>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</si>
  <si>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</si>
  <si>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</si>
  <si>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</si>
  <si>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</si>
  <si>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</si>
  <si>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</si>
  <si>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</si>
  <si>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</si>
  <si>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</si>
  <si>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</si>
  <si>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</si>
  <si>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</si>
  <si>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</si>
  <si>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</si>
  <si>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</si>
  <si>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</si>
  <si>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</si>
  <si>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</si>
  <si>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</si>
  <si>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</si>
  <si>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</si>
  <si>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</si>
  <si>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</si>
  <si>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</si>
  <si>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</si>
  <si>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</si>
  <si>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</si>
  <si>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</si>
  <si>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</si>
  <si>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</si>
  <si>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</si>
  <si>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</si>
  <si>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</si>
  <si>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</si>
  <si>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</si>
  <si>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</si>
  <si>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</si>
  <si>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</si>
  <si>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</si>
  <si>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</si>
  <si>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</si>
  <si>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</si>
  <si>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</si>
  <si>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</si>
  <si>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</si>
  <si>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</si>
  <si>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</si>
  <si>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</si>
  <si>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</si>
  <si>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</si>
  <si>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</si>
  <si>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</si>
  <si>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</si>
  <si>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</si>
  <si>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</si>
  <si>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</si>
  <si>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</si>
  <si>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</si>
  <si>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</si>
  <si>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</si>
  <si>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</si>
  <si>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</si>
  <si>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</si>
  <si>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</si>
  <si>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</si>
  <si>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</si>
  <si>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</si>
  <si>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</si>
  <si>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</si>
  <si>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</si>
  <si>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</si>
  <si>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</si>
  <si>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</si>
  <si>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</si>
  <si>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</si>
  <si>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</si>
  <si>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</si>
  <si>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</si>
  <si>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</si>
  <si>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</si>
  <si>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</si>
  <si>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</si>
  <si>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</si>
  <si>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</si>
  <si>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</si>
  <si>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</si>
  <si>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</si>
  <si>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</si>
  <si>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</si>
  <si>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</si>
  <si>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</si>
  <si>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</si>
  <si>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</si>
  <si>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</si>
  <si>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</si>
  <si>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</si>
  <si>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</si>
  <si>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</si>
  <si>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</si>
  <si>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</si>
  <si>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</si>
  <si>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</si>
  <si>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</si>
  <si>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</si>
  <si>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</si>
  <si>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</si>
  <si>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</si>
  <si>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</si>
  <si>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</si>
  <si>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</si>
  <si>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</si>
  <si>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</si>
  <si>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</si>
  <si>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</si>
  <si>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</si>
  <si>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</si>
  <si>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</si>
  <si>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</si>
  <si>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</si>
  <si>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</si>
  <si>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</si>
  <si>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</si>
  <si>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</si>
  <si>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</si>
  <si>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</si>
  <si>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</si>
  <si>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</si>
  <si>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</si>
  <si>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</si>
  <si>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</si>
  <si>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</si>
  <si>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</si>
  <si>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</si>
  <si>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</si>
  <si>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</si>
  <si>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</si>
  <si>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</si>
  <si>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</si>
  <si>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</si>
  <si>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</si>
  <si>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</si>
  <si>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</si>
  <si>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</si>
  <si>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</si>
  <si>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</si>
  <si>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</si>
  <si>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</si>
  <si>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</si>
  <si>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</si>
  <si>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</si>
  <si>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</si>
  <si>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</si>
  <si>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</si>
  <si>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</si>
  <si>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</si>
  <si>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</si>
  <si>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</si>
  <si>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</si>
  <si>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</si>
  <si>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</si>
  <si>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</si>
  <si>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</si>
  <si>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</si>
  <si>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</si>
  <si>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</si>
  <si>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</si>
  <si>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</si>
  <si>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</si>
  <si>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</si>
  <si>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</si>
  <si>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</si>
  <si>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</si>
  <si>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</si>
  <si>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</si>
  <si>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</si>
  <si>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</si>
  <si>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</si>
  <si>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</si>
  <si>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</si>
  <si>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</si>
  <si>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</si>
  <si>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</si>
  <si>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</si>
  <si>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</si>
  <si>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</si>
  <si>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</si>
  <si>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</si>
  <si>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</si>
  <si>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</si>
  <si>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</si>
  <si>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</si>
  <si>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</si>
  <si>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</si>
  <si>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</si>
  <si>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</si>
  <si>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</si>
  <si>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</si>
  <si>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</si>
  <si>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</si>
  <si>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</si>
  <si>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</si>
  <si>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</si>
  <si>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</si>
  <si>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</si>
  <si>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</si>
  <si>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</si>
  <si>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</si>
  <si>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</si>
  <si>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</si>
  <si>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</si>
  <si>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</si>
  <si>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</si>
  <si>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</si>
  <si>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</si>
  <si>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</si>
  <si>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</si>
  <si>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</si>
  <si>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</si>
  <si>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</si>
  <si>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</si>
  <si>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</si>
  <si>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</si>
  <si>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</si>
  <si>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</si>
  <si>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</si>
  <si>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</si>
  <si>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</si>
  <si>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</si>
  <si>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</si>
  <si>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</si>
  <si>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</si>
  <si>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</si>
  <si>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</si>
  <si>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</si>
  <si>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</si>
  <si>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</si>
  <si>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</si>
  <si>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</si>
  <si>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</si>
  <si>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</si>
  <si>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</si>
  <si>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</si>
  <si>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</si>
  <si>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</si>
  <si>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</si>
  <si>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</si>
  <si>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</si>
  <si>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</si>
  <si>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</si>
  <si>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www.boontontownship.com</t>
  </si>
  <si>
    <t>973 402-4002</t>
  </si>
  <si>
    <t>155 Powerville Road</t>
  </si>
  <si>
    <t xml:space="preserve">Boonton Township </t>
  </si>
  <si>
    <t>Boonton Twsp</t>
  </si>
  <si>
    <t>07005</t>
  </si>
  <si>
    <t xml:space="preserve">Michel </t>
  </si>
  <si>
    <t>Rankin</t>
  </si>
  <si>
    <t xml:space="preserve">Barbara </t>
  </si>
  <si>
    <t>Shepard</t>
  </si>
  <si>
    <t>bshepard@boontontownship.com</t>
  </si>
  <si>
    <t>Norman</t>
  </si>
  <si>
    <t>Eckstein</t>
  </si>
  <si>
    <t>neckstein@boontontownship.com</t>
  </si>
  <si>
    <t>Joseph</t>
  </si>
  <si>
    <t>Faccone</t>
  </si>
  <si>
    <t>Paul</t>
  </si>
  <si>
    <t>Allieri</t>
  </si>
  <si>
    <t>William</t>
  </si>
  <si>
    <t>Klingener</t>
  </si>
  <si>
    <t>Brian</t>
  </si>
  <si>
    <t>Honan</t>
  </si>
  <si>
    <t>Thomas</t>
  </si>
  <si>
    <t>Donadio</t>
  </si>
  <si>
    <t xml:space="preserve">Water </t>
  </si>
  <si>
    <t>Sewer</t>
  </si>
  <si>
    <t>Not Applicable</t>
  </si>
  <si>
    <t>Rockaway Valley Regional Sewerage Authority</t>
  </si>
  <si>
    <t>County of Morris</t>
  </si>
  <si>
    <t>Dispatch / 911</t>
  </si>
  <si>
    <t>Health Officer / Public Health</t>
  </si>
  <si>
    <t>Montville Township</t>
  </si>
  <si>
    <t>Animal Control</t>
  </si>
  <si>
    <t xml:space="preserve">Kinnelon Borough </t>
  </si>
  <si>
    <t>Jet Vac Equipment</t>
  </si>
  <si>
    <t>Based upon estimate</t>
  </si>
  <si>
    <t>AAA</t>
  </si>
  <si>
    <t>Non-Aligned Positions</t>
  </si>
  <si>
    <t>x</t>
  </si>
  <si>
    <t>Police Chief</t>
  </si>
  <si>
    <t>Administrator / Municipal Clerk</t>
  </si>
  <si>
    <t>Chief Financial Officer / Tax Collector</t>
  </si>
  <si>
    <t>Other Managerial</t>
  </si>
  <si>
    <t>Other Supervisory</t>
  </si>
  <si>
    <t xml:space="preserve">Employees subject to Collective Bargaining </t>
  </si>
  <si>
    <t>Boonton Township PBA Local 392</t>
  </si>
  <si>
    <t>Victoria Mews Assisted Living</t>
  </si>
  <si>
    <t>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</si>
</sst>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9">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7" fontId="4" fillId="2" borderId="104" xfId="3" applyNumberFormat="1" applyFont="1" applyFill="1" applyBorder="1" applyProtection="1">
      <protection locked="0"/>
    </xf>
    <xf numFmtId="0" fontId="26" fillId="0" borderId="0" xfId="7" applyProtection="1">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xr:uid="{00000000-0005-0000-0000-000002000000}"/>
    <cellStyle name="Currency 3" xfId="9" xr:uid="{00000000-0005-0000-0000-000003000000}"/>
    <cellStyle name="Hyperlink" xfId="11" builtinId="8"/>
    <cellStyle name="Normal" xfId="0" builtinId="0"/>
    <cellStyle name="Normal 2" xfId="5" xr:uid="{00000000-0005-0000-0000-000006000000}"/>
    <cellStyle name="Normal_Analysis of CompAbsence" xfId="7" xr:uid="{00000000-0005-0000-0000-000007000000}"/>
    <cellStyle name="Normal_FY 05 Sheet 1 &amp; 2 Signature Pgs" xfId="4" xr:uid="{00000000-0005-0000-0000-000008000000}"/>
    <cellStyle name="Normal_FY 05 Sheet 3 CAP Calc &amp; Sum" xfId="3" xr:uid="{00000000-0005-0000-0000-000009000000}"/>
    <cellStyle name="Normal_FY 05 Sheet 37 &amp; 38 Assessment pages" xfId="8" xr:uid="{00000000-0005-0000-0000-00000A000000}"/>
    <cellStyle name="Normal_SHTACAP"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ctrlProps/ctrlProp1.xml><?xml version="1.0" encoding="utf-8"?>
<formControlPr xmlns="http://schemas.microsoft.com/office/spreadsheetml/2009/9/main" objectType="Drop" dropStyle="combo" dx="15" fmlaLink="$K$5" fmlaRange="muni!$A$1:$B$587" sel="391" val="390"/>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52"/>
  <sheetViews>
    <sheetView tabSelected="1" topLeftCell="J5" zoomScaleNormal="100" workbookViewId="0">
      <selection activeCell="N28" sqref="N28:Q28"/>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69" t="s">
        <v>2272</v>
      </c>
      <c r="K1" s="669"/>
      <c r="L1" s="669"/>
      <c r="M1" s="669"/>
      <c r="N1" s="669"/>
      <c r="O1" s="669"/>
      <c r="P1" s="669"/>
      <c r="Q1" s="669"/>
    </row>
    <row r="2" spans="1:23" ht="25.5">
      <c r="J2" s="669" t="s">
        <v>2273</v>
      </c>
      <c r="K2" s="669"/>
      <c r="L2" s="669"/>
      <c r="M2" s="669"/>
      <c r="N2" s="669"/>
      <c r="O2" s="669"/>
      <c r="P2" s="669"/>
      <c r="Q2" s="669"/>
    </row>
    <row r="3" spans="1:23" ht="20.25" customHeight="1">
      <c r="J3" s="563"/>
      <c r="K3" s="563"/>
      <c r="L3" s="563"/>
      <c r="M3" s="563"/>
      <c r="N3" s="563"/>
      <c r="O3" s="563"/>
      <c r="P3" s="563"/>
      <c r="Q3" s="563"/>
    </row>
    <row r="4" spans="1:23" ht="21.75" customHeight="1">
      <c r="A4" s="491" t="str">
        <f>INDEX(muni!A1:A587,K5,1)</f>
        <v>1402 Boonton Township - County of Morris</v>
      </c>
      <c r="B4" s="491">
        <f>ROW()</f>
        <v>4</v>
      </c>
      <c r="C4" s="491"/>
      <c r="D4" s="491">
        <f>K4</f>
        <v>2019</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Norman Eckstein -Chief Financial Officer of 1402 Boonton Township - County of Morris,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4" t="s">
        <v>2271</v>
      </c>
      <c r="K4" s="560">
        <v>2019</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1402</v>
      </c>
      <c r="D5" s="491">
        <f>K4</f>
        <v>2019</v>
      </c>
      <c r="E5" s="491" t="s">
        <v>2031</v>
      </c>
      <c r="F5" s="493" t="s">
        <v>2032</v>
      </c>
      <c r="G5" s="491" t="s">
        <v>2037</v>
      </c>
      <c r="H5" s="492" t="str">
        <f>"mailto:ufb.lgs@dca.nj.gov?subject="&amp;N6&amp;"&amp;body= "&amp;J18&amp;" "&amp;L18&amp;" - CFO, Certify that all information in this email is accurate.%0A%0AAttached "&amp;N6&amp;"."</f>
        <v>mailto:ufb.lgs@dca.nj.gov?subject=1402_fba_2019.xlsm &amp;body= Norman Eckstein - CFO, Certify that all information in this email is accurate.%0A%0AAttached 1402_fba_2019.xlsm .</v>
      </c>
      <c r="I5" s="493" t="s">
        <v>2300</v>
      </c>
      <c r="J5" s="570" t="s">
        <v>293</v>
      </c>
      <c r="K5" s="677">
        <v>391</v>
      </c>
      <c r="L5" s="677"/>
      <c r="M5" s="677"/>
      <c r="N5" s="571"/>
      <c r="O5" s="563"/>
      <c r="P5" s="563"/>
      <c r="Q5" s="624">
        <v>2</v>
      </c>
      <c r="S5" s="432"/>
      <c r="T5" s="432"/>
      <c r="U5" s="432"/>
      <c r="V5" s="432"/>
      <c r="W5" s="432"/>
    </row>
    <row r="6" spans="1:23" ht="15" customHeight="1">
      <c r="A6" s="491" t="str">
        <f t="shared" ca="1" si="0"/>
        <v>Cover Page</v>
      </c>
      <c r="B6" s="491">
        <f>ROW()</f>
        <v>6</v>
      </c>
      <c r="C6" s="491" t="str">
        <f>K6</f>
        <v>1402</v>
      </c>
      <c r="D6" s="491">
        <f>K4</f>
        <v>2019</v>
      </c>
      <c r="E6" s="491" t="s">
        <v>2031</v>
      </c>
      <c r="F6" s="493" t="s">
        <v>2032</v>
      </c>
      <c r="G6" s="491" t="s">
        <v>2053</v>
      </c>
      <c r="H6" s="505">
        <f>M38</f>
        <v>0</v>
      </c>
      <c r="I6" s="551" t="str">
        <f>J18&amp;" "&amp;L18&amp;" - CFO, 
The attached UFB, File "&amp;N6&amp;", has been received by the Division Local Government Services.
Thank you for your submission."</f>
        <v>Norman Eckstein - CFO, 
The attached UFB, File 1402_fba_2019.xlsm , has been received by the Division Local Government Services.
Thank you for your submission.</v>
      </c>
      <c r="J6" s="573" t="s">
        <v>2064</v>
      </c>
      <c r="K6" s="593" t="str">
        <f>INDEX(muni!B1:B589,K5,1)</f>
        <v>1402</v>
      </c>
      <c r="L6" s="574"/>
      <c r="M6" s="571" t="s">
        <v>2039</v>
      </c>
      <c r="N6" s="574" t="str">
        <f>IF(Q5=1,K6&amp;"_fbi_"&amp;D6&amp;".xlsm ",K6&amp;"_fba_"&amp;D6&amp;".xlsm ")</f>
        <v xml:space="preserve">1402_fba_2019.xlsm </v>
      </c>
      <c r="O6" s="574"/>
      <c r="P6" s="574"/>
      <c r="Q6" s="574"/>
      <c r="S6" s="550"/>
      <c r="T6" s="432"/>
      <c r="U6" s="432"/>
      <c r="V6" s="432"/>
      <c r="W6" s="432"/>
    </row>
    <row r="7" spans="1:23" ht="15.75" customHeight="1">
      <c r="A7" s="491" t="str">
        <f t="shared" ca="1" si="0"/>
        <v>Cover Page</v>
      </c>
      <c r="B7" s="491">
        <f>ROW()</f>
        <v>7</v>
      </c>
      <c r="C7" s="491" t="str">
        <f>K6</f>
        <v>1402</v>
      </c>
      <c r="D7" s="491">
        <f>K4</f>
        <v>2019</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8" t="s">
        <v>2304</v>
      </c>
      <c r="M7" s="679"/>
      <c r="N7" s="679"/>
      <c r="O7" s="679"/>
      <c r="P7" s="679"/>
      <c r="Q7" s="680"/>
      <c r="T7" s="432"/>
      <c r="U7" s="432"/>
      <c r="V7" s="432"/>
      <c r="W7" s="432"/>
    </row>
    <row r="8" spans="1:23" ht="15.75">
      <c r="A8" s="491" t="str">
        <f t="shared" ca="1" si="0"/>
        <v>Cover Page</v>
      </c>
      <c r="B8" s="491">
        <f>ROW()</f>
        <v>8</v>
      </c>
      <c r="C8" s="491" t="str">
        <f>K6</f>
        <v>1402</v>
      </c>
      <c r="D8" s="491">
        <f>K4</f>
        <v>2019</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2305</v>
      </c>
      <c r="N8" s="577"/>
      <c r="O8" s="577"/>
      <c r="P8" s="577"/>
      <c r="Q8" s="577"/>
      <c r="T8" s="432"/>
      <c r="U8" s="432"/>
      <c r="V8" s="432"/>
      <c r="W8" s="432"/>
    </row>
    <row r="9" spans="1:23" ht="15.75">
      <c r="A9" s="491" t="str">
        <f t="shared" ca="1" si="0"/>
        <v>Cover Page</v>
      </c>
      <c r="B9" s="491">
        <f>ROW()</f>
        <v>9</v>
      </c>
      <c r="C9" s="491" t="str">
        <f>K6</f>
        <v>1402</v>
      </c>
      <c r="D9" s="491">
        <f>K4</f>
        <v>2019</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81" t="s">
        <v>2306</v>
      </c>
      <c r="N9" s="679"/>
      <c r="O9" s="679"/>
      <c r="P9" s="679"/>
      <c r="Q9" s="680"/>
      <c r="T9" s="432"/>
      <c r="U9" s="432"/>
      <c r="V9" s="432"/>
      <c r="W9" s="432"/>
    </row>
    <row r="10" spans="1:23" ht="18.75">
      <c r="A10" s="491" t="str">
        <f t="shared" ca="1" si="0"/>
        <v>Cover Page</v>
      </c>
      <c r="B10" s="491">
        <f>ROW()</f>
        <v>10</v>
      </c>
      <c r="C10" s="491" t="str">
        <f>K6</f>
        <v>1402</v>
      </c>
      <c r="D10" s="491">
        <f>K4</f>
        <v>2019</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81" t="s">
        <v>2307</v>
      </c>
      <c r="N10" s="679"/>
      <c r="O10" s="679"/>
      <c r="P10" s="679"/>
      <c r="Q10" s="680"/>
      <c r="T10" s="432"/>
      <c r="U10" s="432"/>
      <c r="V10" s="432"/>
      <c r="W10" s="432"/>
    </row>
    <row r="11" spans="1:23" ht="15.75">
      <c r="A11" s="491" t="str">
        <f t="shared" ca="1" si="0"/>
        <v>Cover Page</v>
      </c>
      <c r="B11" s="491">
        <f>ROW()</f>
        <v>11</v>
      </c>
      <c r="C11" s="491" t="str">
        <f>K6</f>
        <v>1402</v>
      </c>
      <c r="D11" s="491">
        <f>K4</f>
        <v>2019</v>
      </c>
      <c r="E11" s="491" t="s">
        <v>2031</v>
      </c>
      <c r="F11" s="493" t="s">
        <v>2032</v>
      </c>
      <c r="G11" s="491" t="s">
        <v>2058</v>
      </c>
      <c r="H11" s="505">
        <f>M38</f>
        <v>0</v>
      </c>
      <c r="I11" s="552" t="str">
        <f>I6&amp;I8</f>
        <v>Norman Eckstein - CFO, 
The attached UFB, File 1402_fba_2019.xlsm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82" t="str">
        <f>HYPERLINK(H5,"Email the UFB if not using Outlook")</f>
        <v>Email the UFB if not using Outlook</v>
      </c>
      <c r="K11" s="683"/>
      <c r="L11" s="579" t="s">
        <v>2298</v>
      </c>
      <c r="M11" s="595" t="s">
        <v>2308</v>
      </c>
      <c r="N11" s="580" t="s">
        <v>2060</v>
      </c>
      <c r="O11" s="581" t="s">
        <v>2059</v>
      </c>
      <c r="P11" s="582" t="s">
        <v>2061</v>
      </c>
      <c r="Q11" s="598" t="s">
        <v>2309</v>
      </c>
      <c r="T11" s="432"/>
      <c r="U11" s="432"/>
      <c r="V11" s="432"/>
      <c r="W11" s="432"/>
    </row>
    <row r="12" spans="1:23" ht="15.75">
      <c r="A12" s="491" t="str">
        <f t="shared" ca="1" si="0"/>
        <v>Cover Page</v>
      </c>
      <c r="B12" s="491">
        <f>ROW()</f>
        <v>12</v>
      </c>
      <c r="C12" s="491" t="str">
        <f>K6</f>
        <v>1402</v>
      </c>
      <c r="D12" s="491">
        <f>K4</f>
        <v>2019</v>
      </c>
      <c r="E12" s="491" t="s">
        <v>2031</v>
      </c>
      <c r="F12" s="491" t="s">
        <v>2033</v>
      </c>
      <c r="G12" s="491" t="s">
        <v>121</v>
      </c>
      <c r="H12" s="505">
        <f>M38</f>
        <v>0</v>
      </c>
      <c r="I12" s="552" t="str">
        <f>I6&amp;I9</f>
        <v>Norman Eckstein - CFO, 
The attached UFB, File 1402_fba_2019.xlsm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1402</v>
      </c>
      <c r="D13" s="491">
        <f>K4</f>
        <v>2019</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1402</v>
      </c>
      <c r="D14" s="491">
        <f>K4</f>
        <v>2019</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t="s">
        <v>2310</v>
      </c>
      <c r="K14" s="644"/>
      <c r="L14" s="665" t="s">
        <v>2311</v>
      </c>
      <c r="M14" s="607">
        <v>44561</v>
      </c>
      <c r="N14" s="673"/>
      <c r="O14" s="674"/>
      <c r="P14" s="674"/>
      <c r="Q14" s="675"/>
      <c r="T14" s="453"/>
      <c r="U14" s="432"/>
      <c r="V14" s="432"/>
      <c r="W14" s="432"/>
    </row>
    <row r="15" spans="1:23" ht="15.75">
      <c r="A15" s="491" t="str">
        <f t="shared" ca="1" si="0"/>
        <v>Cover Page</v>
      </c>
      <c r="B15" s="491">
        <f>ROW()</f>
        <v>15</v>
      </c>
      <c r="C15" s="491" t="str">
        <f>K6</f>
        <v>1402</v>
      </c>
      <c r="D15" s="491">
        <f>K4</f>
        <v>2019</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1402</v>
      </c>
      <c r="D16" s="491">
        <f>K4</f>
        <v>2019</v>
      </c>
      <c r="E16" s="491" t="s">
        <v>2031</v>
      </c>
      <c r="F16" s="491" t="s">
        <v>2033</v>
      </c>
      <c r="G16" s="491" t="s">
        <v>2034</v>
      </c>
      <c r="H16" s="505">
        <f>M38</f>
        <v>0</v>
      </c>
      <c r="I16" s="444"/>
      <c r="J16" s="645" t="s">
        <v>2312</v>
      </c>
      <c r="K16" s="665"/>
      <c r="L16" s="665" t="s">
        <v>2313</v>
      </c>
      <c r="M16" s="608"/>
      <c r="N16" s="673" t="s">
        <v>2314</v>
      </c>
      <c r="O16" s="674"/>
      <c r="P16" s="674"/>
      <c r="Q16" s="675"/>
      <c r="T16" s="453"/>
      <c r="U16" s="432"/>
      <c r="V16" s="432"/>
      <c r="W16" s="432"/>
    </row>
    <row r="17" spans="1:23" ht="15.75">
      <c r="A17" s="491" t="str">
        <f t="shared" ca="1" si="0"/>
        <v>Cover Page</v>
      </c>
      <c r="B17" s="491">
        <f>ROW()</f>
        <v>17</v>
      </c>
      <c r="C17" s="491" t="str">
        <f>K6</f>
        <v>1402</v>
      </c>
      <c r="D17" s="491">
        <f>K4</f>
        <v>2019</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1402</v>
      </c>
      <c r="D18" s="491">
        <f>K4</f>
        <v>2019</v>
      </c>
      <c r="E18" s="491" t="s">
        <v>2031</v>
      </c>
      <c r="F18" s="491" t="s">
        <v>2033</v>
      </c>
      <c r="G18" s="491" t="s">
        <v>315</v>
      </c>
      <c r="H18" s="505">
        <f>M38</f>
        <v>0</v>
      </c>
      <c r="I18" s="444"/>
      <c r="J18" s="645" t="s">
        <v>2315</v>
      </c>
      <c r="K18" s="665"/>
      <c r="L18" s="665" t="s">
        <v>2316</v>
      </c>
      <c r="M18" s="608"/>
      <c r="N18" s="676" t="s">
        <v>2317</v>
      </c>
      <c r="O18" s="674"/>
      <c r="P18" s="674"/>
      <c r="Q18" s="675"/>
      <c r="T18" s="453"/>
      <c r="U18" s="432"/>
      <c r="V18" s="432"/>
      <c r="W18" s="432"/>
    </row>
    <row r="19" spans="1:23" ht="15.75">
      <c r="A19" s="491" t="str">
        <f t="shared" ca="1" si="0"/>
        <v>Cover Page</v>
      </c>
      <c r="B19" s="491">
        <f>ROW()</f>
        <v>19</v>
      </c>
      <c r="C19" s="491" t="str">
        <f>K6</f>
        <v>1402</v>
      </c>
      <c r="D19" s="491">
        <f>K4</f>
        <v>2019</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1402</v>
      </c>
      <c r="D20" s="491">
        <f>K4</f>
        <v>2019</v>
      </c>
      <c r="E20" s="491" t="s">
        <v>2031</v>
      </c>
      <c r="F20" s="491" t="s">
        <v>2033</v>
      </c>
      <c r="G20" s="491" t="s">
        <v>2035</v>
      </c>
      <c r="H20" s="505">
        <f>M38</f>
        <v>0</v>
      </c>
      <c r="I20" s="444"/>
      <c r="J20" s="645" t="s">
        <v>2312</v>
      </c>
      <c r="K20" s="644"/>
      <c r="L20" s="665" t="s">
        <v>2313</v>
      </c>
      <c r="M20" s="608"/>
      <c r="N20" s="670" t="s">
        <v>2314</v>
      </c>
      <c r="O20" s="671"/>
      <c r="P20" s="671"/>
      <c r="Q20" s="672"/>
      <c r="T20" s="453"/>
      <c r="U20" s="432"/>
      <c r="V20" s="432"/>
      <c r="W20" s="432"/>
    </row>
    <row r="21" spans="1:23" ht="15.75">
      <c r="A21" s="491" t="str">
        <f t="shared" ca="1" si="0"/>
        <v>Cover Page</v>
      </c>
      <c r="B21" s="491">
        <f>ROW()</f>
        <v>21</v>
      </c>
      <c r="C21" s="491" t="str">
        <f>K6</f>
        <v>1402</v>
      </c>
      <c r="D21" s="491">
        <f>K4</f>
        <v>2019</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1402</v>
      </c>
      <c r="D22" s="491">
        <f>K4</f>
        <v>2019</v>
      </c>
      <c r="E22" s="491" t="s">
        <v>2031</v>
      </c>
      <c r="F22" s="491" t="s">
        <v>2033</v>
      </c>
      <c r="G22" s="491" t="s">
        <v>2035</v>
      </c>
      <c r="H22" s="505">
        <f>M38</f>
        <v>0</v>
      </c>
      <c r="I22" s="444"/>
      <c r="J22" s="645" t="s">
        <v>2318</v>
      </c>
      <c r="K22" s="665" t="s">
        <v>139</v>
      </c>
      <c r="L22" s="665" t="s">
        <v>2319</v>
      </c>
      <c r="M22" s="608"/>
      <c r="N22" s="670"/>
      <c r="O22" s="671"/>
      <c r="P22" s="671"/>
      <c r="Q22" s="672"/>
      <c r="T22" s="453"/>
      <c r="U22" s="432"/>
      <c r="V22" s="432"/>
      <c r="W22" s="432"/>
    </row>
    <row r="23" spans="1:23" ht="15.75">
      <c r="A23" s="491" t="str">
        <f t="shared" ca="1" si="0"/>
        <v>Cover Page</v>
      </c>
      <c r="B23" s="491">
        <f>ROW()</f>
        <v>23</v>
      </c>
      <c r="C23" s="491" t="str">
        <f>K6</f>
        <v>1402</v>
      </c>
      <c r="D23" s="491">
        <f>K4</f>
        <v>2019</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1402</v>
      </c>
      <c r="D24" s="491">
        <f>K4</f>
        <v>2019</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1402</v>
      </c>
      <c r="D25" s="491">
        <f>K4</f>
        <v>2019</v>
      </c>
      <c r="E25" s="491" t="s">
        <v>2031</v>
      </c>
      <c r="F25" s="491" t="s">
        <v>2033</v>
      </c>
      <c r="G25" s="491" t="s">
        <v>2042</v>
      </c>
      <c r="H25" s="505">
        <f>M38</f>
        <v>0</v>
      </c>
      <c r="I25" s="444"/>
      <c r="J25" s="596" t="s">
        <v>2320</v>
      </c>
      <c r="K25" s="597"/>
      <c r="L25" s="597" t="s">
        <v>2321</v>
      </c>
      <c r="M25" s="607">
        <v>43830</v>
      </c>
      <c r="N25" s="673"/>
      <c r="O25" s="674"/>
      <c r="P25" s="674"/>
      <c r="Q25" s="675"/>
      <c r="T25" s="453"/>
      <c r="U25" s="432"/>
      <c r="V25" s="432"/>
      <c r="W25" s="432"/>
    </row>
    <row r="26" spans="1:23" ht="15.75">
      <c r="A26" s="491" t="str">
        <f t="shared" ca="1" si="0"/>
        <v>Cover Page</v>
      </c>
      <c r="B26" s="491">
        <f>ROW()</f>
        <v>26</v>
      </c>
      <c r="C26" s="491" t="str">
        <f>K6</f>
        <v>1402</v>
      </c>
      <c r="D26" s="491">
        <f>K4</f>
        <v>2019</v>
      </c>
      <c r="E26" s="491" t="s">
        <v>2031</v>
      </c>
      <c r="F26" s="491" t="s">
        <v>2033</v>
      </c>
      <c r="G26" s="491" t="s">
        <v>2043</v>
      </c>
      <c r="H26" s="505">
        <f>M38</f>
        <v>0</v>
      </c>
      <c r="I26" s="447"/>
      <c r="J26" s="596" t="s">
        <v>2326</v>
      </c>
      <c r="K26" s="597"/>
      <c r="L26" s="597" t="s">
        <v>2327</v>
      </c>
      <c r="M26" s="612">
        <v>44196</v>
      </c>
      <c r="N26" s="673"/>
      <c r="O26" s="674"/>
      <c r="P26" s="674"/>
      <c r="Q26" s="675"/>
      <c r="T26" s="453"/>
      <c r="U26" s="432"/>
      <c r="V26" s="432"/>
      <c r="W26" s="432"/>
    </row>
    <row r="27" spans="1:23" ht="15.75">
      <c r="A27" s="491" t="str">
        <f t="shared" ca="1" si="0"/>
        <v>Cover Page</v>
      </c>
      <c r="B27" s="491">
        <f>ROW()</f>
        <v>27</v>
      </c>
      <c r="C27" s="491" t="str">
        <f>K6</f>
        <v>1402</v>
      </c>
      <c r="D27" s="491">
        <f>K4</f>
        <v>2019</v>
      </c>
      <c r="E27" s="491" t="s">
        <v>2031</v>
      </c>
      <c r="F27" s="491" t="s">
        <v>2033</v>
      </c>
      <c r="G27" s="491" t="s">
        <v>2044</v>
      </c>
      <c r="H27" s="505">
        <f>M38</f>
        <v>0</v>
      </c>
      <c r="I27" s="445"/>
      <c r="J27" s="596" t="s">
        <v>2324</v>
      </c>
      <c r="K27" s="597"/>
      <c r="L27" s="597" t="s">
        <v>2325</v>
      </c>
      <c r="M27" s="612">
        <v>43830</v>
      </c>
      <c r="N27" s="673"/>
      <c r="O27" s="674"/>
      <c r="P27" s="674"/>
      <c r="Q27" s="675"/>
      <c r="T27" s="453"/>
      <c r="U27" s="432"/>
      <c r="V27" s="432"/>
      <c r="W27" s="432"/>
    </row>
    <row r="28" spans="1:23" ht="15.75">
      <c r="A28" s="491" t="str">
        <f t="shared" ca="1" si="0"/>
        <v>Cover Page</v>
      </c>
      <c r="B28" s="491">
        <f>ROW()</f>
        <v>28</v>
      </c>
      <c r="C28" s="491" t="str">
        <f>K6</f>
        <v>1402</v>
      </c>
      <c r="D28" s="491">
        <f>K4</f>
        <v>2019</v>
      </c>
      <c r="E28" s="491" t="s">
        <v>2031</v>
      </c>
      <c r="F28" s="491" t="s">
        <v>2033</v>
      </c>
      <c r="G28" s="491" t="s">
        <v>2045</v>
      </c>
      <c r="H28" s="505">
        <f>M38</f>
        <v>0</v>
      </c>
      <c r="I28" s="446"/>
      <c r="J28" s="596" t="s">
        <v>2322</v>
      </c>
      <c r="K28" s="597"/>
      <c r="L28" s="597" t="s">
        <v>2323</v>
      </c>
      <c r="M28" s="612">
        <v>43830</v>
      </c>
      <c r="N28" s="673"/>
      <c r="O28" s="674"/>
      <c r="P28" s="674"/>
      <c r="Q28" s="675"/>
      <c r="T28" s="453"/>
      <c r="U28" s="432"/>
      <c r="V28" s="432"/>
      <c r="W28" s="432"/>
    </row>
    <row r="29" spans="1:23" ht="15.75">
      <c r="A29" s="491" t="str">
        <f t="shared" ca="1" si="0"/>
        <v>Cover Page</v>
      </c>
      <c r="B29" s="491">
        <f>ROW()</f>
        <v>29</v>
      </c>
      <c r="C29" s="491" t="str">
        <f>K6</f>
        <v>1402</v>
      </c>
      <c r="D29" s="491">
        <f>K4</f>
        <v>2019</v>
      </c>
      <c r="E29" s="491" t="s">
        <v>2031</v>
      </c>
      <c r="F29" s="491" t="s">
        <v>2033</v>
      </c>
      <c r="G29" s="491" t="s">
        <v>2046</v>
      </c>
      <c r="H29" s="505">
        <f>M38</f>
        <v>0</v>
      </c>
      <c r="I29" s="444"/>
      <c r="J29" s="596"/>
      <c r="K29" s="597"/>
      <c r="L29" s="597"/>
      <c r="M29" s="612"/>
      <c r="N29" s="673"/>
      <c r="O29" s="674"/>
      <c r="P29" s="674"/>
      <c r="Q29" s="675"/>
      <c r="T29" s="453"/>
      <c r="U29" s="432"/>
      <c r="V29" s="432"/>
      <c r="W29" s="432"/>
    </row>
    <row r="30" spans="1:23" ht="15.75">
      <c r="A30" s="491" t="str">
        <f t="shared" ca="1" si="0"/>
        <v>Cover Page</v>
      </c>
      <c r="B30" s="491">
        <f>ROW()</f>
        <v>30</v>
      </c>
      <c r="C30" s="491" t="str">
        <f>K6</f>
        <v>1402</v>
      </c>
      <c r="D30" s="491">
        <f>K4</f>
        <v>2019</v>
      </c>
      <c r="E30" s="491" t="s">
        <v>2031</v>
      </c>
      <c r="F30" s="491" t="s">
        <v>2033</v>
      </c>
      <c r="G30" s="491" t="s">
        <v>2047</v>
      </c>
      <c r="H30" s="505">
        <f>M38</f>
        <v>0</v>
      </c>
      <c r="I30" s="445"/>
      <c r="J30" s="596"/>
      <c r="K30" s="597"/>
      <c r="L30" s="597"/>
      <c r="M30" s="612"/>
      <c r="N30" s="673"/>
      <c r="O30" s="674"/>
      <c r="P30" s="674"/>
      <c r="Q30" s="675"/>
      <c r="T30" s="453"/>
      <c r="U30" s="432"/>
      <c r="V30" s="432"/>
      <c r="W30" s="432"/>
    </row>
    <row r="31" spans="1:23" ht="15.75">
      <c r="A31" s="491" t="str">
        <f t="shared" ca="1" si="0"/>
        <v>Cover Page</v>
      </c>
      <c r="B31" s="491">
        <f>ROW()</f>
        <v>31</v>
      </c>
      <c r="C31" s="491" t="str">
        <f>K6</f>
        <v>1402</v>
      </c>
      <c r="D31" s="491">
        <f>K4</f>
        <v>2019</v>
      </c>
      <c r="E31" s="491" t="s">
        <v>2031</v>
      </c>
      <c r="F31" s="491" t="s">
        <v>2033</v>
      </c>
      <c r="G31" s="491" t="s">
        <v>2048</v>
      </c>
      <c r="H31" s="505">
        <f>M38</f>
        <v>0</v>
      </c>
      <c r="I31" s="446"/>
      <c r="J31" s="596"/>
      <c r="K31" s="597"/>
      <c r="L31" s="597"/>
      <c r="M31" s="612"/>
      <c r="N31" s="673"/>
      <c r="O31" s="674"/>
      <c r="P31" s="674"/>
      <c r="Q31" s="675"/>
      <c r="T31" s="453"/>
      <c r="U31" s="432"/>
      <c r="V31" s="432"/>
      <c r="W31" s="432"/>
    </row>
    <row r="32" spans="1:23" ht="15.75">
      <c r="A32" s="491" t="str">
        <f t="shared" ca="1" si="0"/>
        <v>Cover Page</v>
      </c>
      <c r="B32" s="491">
        <f>ROW()</f>
        <v>32</v>
      </c>
      <c r="C32" s="491" t="str">
        <f>K6</f>
        <v>1402</v>
      </c>
      <c r="D32" s="491">
        <f>K4</f>
        <v>2019</v>
      </c>
      <c r="E32" s="491" t="s">
        <v>2031</v>
      </c>
      <c r="F32" s="491" t="s">
        <v>2033</v>
      </c>
      <c r="G32" s="491" t="s">
        <v>2049</v>
      </c>
      <c r="H32" s="505">
        <f>M38</f>
        <v>0</v>
      </c>
      <c r="I32" s="444"/>
      <c r="J32" s="596"/>
      <c r="K32" s="597"/>
      <c r="L32" s="597"/>
      <c r="M32" s="612"/>
      <c r="N32" s="673"/>
      <c r="O32" s="674"/>
      <c r="P32" s="674"/>
      <c r="Q32" s="675"/>
      <c r="T32" s="453"/>
      <c r="U32" s="432"/>
      <c r="V32" s="432"/>
      <c r="W32" s="432"/>
    </row>
    <row r="33" spans="1:24" ht="15.75">
      <c r="A33" s="491" t="str">
        <f t="shared" ca="1" si="0"/>
        <v>Cover Page</v>
      </c>
      <c r="B33" s="491">
        <f>ROW()</f>
        <v>33</v>
      </c>
      <c r="C33" s="491" t="str">
        <f>K6</f>
        <v>1402</v>
      </c>
      <c r="D33" s="491">
        <f>K4</f>
        <v>2019</v>
      </c>
      <c r="E33" s="491" t="s">
        <v>2031</v>
      </c>
      <c r="F33" s="491" t="s">
        <v>2033</v>
      </c>
      <c r="G33" s="491" t="s">
        <v>2050</v>
      </c>
      <c r="H33" s="505">
        <f>M38</f>
        <v>0</v>
      </c>
      <c r="I33" s="445"/>
      <c r="J33" s="596"/>
      <c r="K33" s="597"/>
      <c r="L33" s="597"/>
      <c r="M33" s="612"/>
      <c r="N33" s="673"/>
      <c r="O33" s="674"/>
      <c r="P33" s="674"/>
      <c r="Q33" s="675"/>
      <c r="T33" s="453"/>
      <c r="U33" s="432"/>
      <c r="V33" s="432"/>
      <c r="W33" s="432"/>
    </row>
    <row r="34" spans="1:24" ht="15.75">
      <c r="A34" s="491" t="str">
        <f t="shared" ca="1" si="0"/>
        <v>Cover Page</v>
      </c>
      <c r="B34" s="491">
        <f>ROW()</f>
        <v>34</v>
      </c>
      <c r="C34" s="491" t="str">
        <f>K6</f>
        <v>1402</v>
      </c>
      <c r="D34" s="491">
        <f>K4</f>
        <v>2019</v>
      </c>
      <c r="E34" s="491" t="s">
        <v>2031</v>
      </c>
      <c r="F34" s="491" t="s">
        <v>2033</v>
      </c>
      <c r="G34" s="491" t="s">
        <v>2051</v>
      </c>
      <c r="H34" s="505">
        <f>M38</f>
        <v>0</v>
      </c>
      <c r="I34" s="446"/>
      <c r="J34" s="596"/>
      <c r="K34" s="597"/>
      <c r="L34" s="597"/>
      <c r="M34" s="612"/>
      <c r="N34" s="673"/>
      <c r="O34" s="674"/>
      <c r="P34" s="674"/>
      <c r="Q34" s="675"/>
      <c r="R34" s="448"/>
      <c r="S34" s="453"/>
      <c r="T34" s="453"/>
      <c r="U34" s="432"/>
      <c r="V34" s="432"/>
      <c r="W34" s="432"/>
    </row>
    <row r="35" spans="1:24" ht="15.75">
      <c r="A35" s="491" t="str">
        <f t="shared" ca="1" si="0"/>
        <v>Cover Page</v>
      </c>
      <c r="B35" s="491">
        <f>ROW()</f>
        <v>35</v>
      </c>
      <c r="C35" s="491" t="str">
        <f>K6</f>
        <v>1402</v>
      </c>
      <c r="D35" s="491">
        <f>K4</f>
        <v>2019</v>
      </c>
      <c r="E35" s="491" t="s">
        <v>2031</v>
      </c>
      <c r="F35" s="491" t="s">
        <v>2033</v>
      </c>
      <c r="G35" s="491" t="s">
        <v>2052</v>
      </c>
      <c r="H35" s="505">
        <f>M38</f>
        <v>0</v>
      </c>
      <c r="I35" s="444"/>
      <c r="J35" s="596"/>
      <c r="K35" s="597"/>
      <c r="L35" s="597"/>
      <c r="M35" s="612"/>
      <c r="N35" s="673"/>
      <c r="O35" s="674"/>
      <c r="P35" s="674"/>
      <c r="Q35" s="675"/>
      <c r="R35" s="449"/>
      <c r="S35" s="453"/>
      <c r="T35" s="453"/>
      <c r="U35" s="432"/>
      <c r="V35" s="432"/>
      <c r="W35" s="432"/>
    </row>
    <row r="36" spans="1:24" ht="15.75">
      <c r="A36" s="491"/>
      <c r="B36" s="491"/>
      <c r="C36" s="491"/>
      <c r="D36" s="491">
        <f>K4</f>
        <v>2019</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1402</v>
      </c>
      <c r="D37" s="491">
        <f>K4</f>
        <v>2019</v>
      </c>
      <c r="E37" s="491" t="s">
        <v>2031</v>
      </c>
      <c r="F37" s="491" t="s">
        <v>2037</v>
      </c>
      <c r="G37" s="491" t="s">
        <v>2038</v>
      </c>
      <c r="H37" s="505">
        <f>M38</f>
        <v>0</v>
      </c>
      <c r="I37" s="507" t="str">
        <f>"s:\LGS Docs\a_1budget\"&amp;A4&amp;"\"&amp;D4&amp;"\ufb\"&amp;N6</f>
        <v xml:space="preserve">s:\LGS Docs\a_1budget\1402 Boonton Township - County of Morris\2019\ufb\1402_fba_2019.xlsm </v>
      </c>
      <c r="K37" s="507"/>
      <c r="L37" s="507"/>
      <c r="M37" s="507"/>
      <c r="N37" s="661"/>
      <c r="O37" s="661"/>
      <c r="P37" s="661"/>
      <c r="Q37" s="661"/>
      <c r="R37" s="507"/>
    </row>
    <row r="38" spans="1:24">
      <c r="A38" s="504" t="str">
        <f ca="1">MID(CELL("filename",A26),FIND("]",CELL("filename",A26))+1,256)</f>
        <v>Cover Page</v>
      </c>
      <c r="B38" s="503">
        <f>ROW()</f>
        <v>38</v>
      </c>
      <c r="C38" s="504" t="str">
        <f>K6</f>
        <v>1402</v>
      </c>
      <c r="D38" s="491">
        <f>K4</f>
        <v>2019</v>
      </c>
      <c r="E38" s="491" t="s">
        <v>2031</v>
      </c>
      <c r="F38" s="491" t="s">
        <v>2037</v>
      </c>
      <c r="G38" s="491" t="s">
        <v>2037</v>
      </c>
      <c r="H38" s="505">
        <f>M38</f>
        <v>0</v>
      </c>
      <c r="I38" s="507" t="str">
        <f>"s:\LGS Docs\a_1budget_files\"&amp;D4&amp;"\ufb\"&amp;N6</f>
        <v xml:space="preserve">s:\LGS Docs\a_1budget_files\2019\ufb\1402_fba_2019.xlsm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2019</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1402</v>
      </c>
      <c r="D40" s="491">
        <f>K4</f>
        <v>2019</v>
      </c>
      <c r="E40" s="491" t="s">
        <v>2031</v>
      </c>
      <c r="F40" s="491" t="s">
        <v>2090</v>
      </c>
      <c r="G40" s="491" t="s">
        <v>2037</v>
      </c>
      <c r="H40" s="505">
        <f>M38</f>
        <v>0</v>
      </c>
      <c r="I40" s="506" t="str">
        <f>N6</f>
        <v xml:space="preserve">1402_fba_2019.xlsm </v>
      </c>
      <c r="J40" s="506" t="str">
        <f>K6</f>
        <v>1402</v>
      </c>
      <c r="K40" s="506" t="str">
        <f>A4</f>
        <v>1402 Boonton Township - County of Morris</v>
      </c>
      <c r="L40" s="506" t="str">
        <f>L7</f>
        <v>www.boontontownship.com</v>
      </c>
      <c r="M40" s="506" t="str">
        <f>M8</f>
        <v>973 402-4002</v>
      </c>
      <c r="N40" s="506" t="str">
        <f>M9</f>
        <v>155 Powerville Road</v>
      </c>
      <c r="O40" s="506" t="str">
        <f>M10</f>
        <v xml:space="preserve">Boonton Township </v>
      </c>
      <c r="P40" s="506" t="s">
        <v>121</v>
      </c>
      <c r="Q40" s="506" t="str">
        <f>O11</f>
        <v>NJ</v>
      </c>
      <c r="R40" s="506" t="str">
        <f>Q11</f>
        <v>07005</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algorithmName="SHA-512" hashValue="YUsXuRse65usOTb4C3unYCuPVXbDar1YcDJlZqIsmXWyU/7kHqXlOUzFUPU0w4j56oU4U/hlJZkgrKn+q/HPyg==" saltValue="bfmneqIoFIgMJUSqF4RTMQ==" spinCount="100000"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S39"/>
  <sheetViews>
    <sheetView topLeftCell="J1" workbookViewId="0">
      <selection activeCell="P9" sqref="P9"/>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1402</v>
      </c>
      <c r="D1" s="491">
        <f>'Cover Page'!K4</f>
        <v>2019</v>
      </c>
      <c r="E1" s="491" t="s">
        <v>2031</v>
      </c>
      <c r="F1" s="491" t="s">
        <v>121</v>
      </c>
      <c r="G1" s="491"/>
      <c r="H1" s="505">
        <f>'Cover Page'!M38</f>
        <v>0</v>
      </c>
      <c r="J1" s="686" t="s">
        <v>285</v>
      </c>
      <c r="K1" s="686"/>
      <c r="L1" s="686"/>
      <c r="M1" s="686"/>
    </row>
    <row r="2" spans="1:16" ht="57.75">
      <c r="A2" s="491" t="str">
        <f ca="1">MID(CELL("filename",A2),FIND("]",CELL("filename",A2))+1,256)</f>
        <v>UFB-8 Health Benefits</v>
      </c>
      <c r="B2" s="491">
        <f>ROW()</f>
        <v>2</v>
      </c>
      <c r="C2" s="491" t="str">
        <f>'Cover Page'!K6</f>
        <v>1402</v>
      </c>
      <c r="D2" s="491">
        <f>'Cover Page'!K4</f>
        <v>2019</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1402</v>
      </c>
      <c r="D3" s="491">
        <f>'Cover Page'!K4</f>
        <v>2019</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1402</v>
      </c>
      <c r="D4" s="491">
        <f>'Cover Page'!K4</f>
        <v>2019</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1402</v>
      </c>
      <c r="D5" s="491">
        <f>'Cover Page'!K4</f>
        <v>2019</v>
      </c>
      <c r="E5" s="491" t="s">
        <v>2031</v>
      </c>
      <c r="F5" s="491" t="s">
        <v>2177</v>
      </c>
      <c r="G5" s="491" t="s">
        <v>2171</v>
      </c>
      <c r="H5" s="505">
        <f>'Cover Page'!M38</f>
        <v>0</v>
      </c>
      <c r="J5" s="161" t="s">
        <v>183</v>
      </c>
      <c r="K5" s="162">
        <v>7</v>
      </c>
      <c r="L5" s="271">
        <f>(11007.36+11007.36+11007.36+11559.48+8669.61+11007.36+9632.9)/7</f>
        <v>10555.91857142857</v>
      </c>
      <c r="M5" s="272">
        <f>K5*L5</f>
        <v>73891.429999999993</v>
      </c>
      <c r="N5" s="162">
        <v>7</v>
      </c>
      <c r="O5" s="271">
        <f>(10686.84+10686.64+10686.64+7444.45+4682.35+11223+4676.25+3741+2805.75+10686.84)/7</f>
        <v>11045.679999999998</v>
      </c>
      <c r="P5" s="272">
        <f>N5*O5</f>
        <v>77319.759999999995</v>
      </c>
    </row>
    <row r="6" spans="1:16">
      <c r="A6" s="491" t="str">
        <f t="shared" ca="1" si="0"/>
        <v>UFB-8 Health Benefits</v>
      </c>
      <c r="B6" s="491">
        <f>ROW()</f>
        <v>6</v>
      </c>
      <c r="C6" s="491" t="str">
        <f>'Cover Page'!K6</f>
        <v>1402</v>
      </c>
      <c r="D6" s="491">
        <f>'Cover Page'!K4</f>
        <v>2019</v>
      </c>
      <c r="E6" s="491" t="s">
        <v>2031</v>
      </c>
      <c r="F6" s="491" t="s">
        <v>2177</v>
      </c>
      <c r="G6" s="491" t="s">
        <v>2172</v>
      </c>
      <c r="H6" s="505">
        <f>'Cover Page'!M38</f>
        <v>0</v>
      </c>
      <c r="J6" s="161" t="s">
        <v>184</v>
      </c>
      <c r="K6" s="162">
        <v>1</v>
      </c>
      <c r="L6" s="271">
        <v>19703.28</v>
      </c>
      <c r="M6" s="272">
        <f>K6*L6</f>
        <v>19703.28</v>
      </c>
      <c r="N6" s="162">
        <v>1</v>
      </c>
      <c r="O6" s="271">
        <f>1594.11*12</f>
        <v>19129.32</v>
      </c>
      <c r="P6" s="272">
        <f>N6*O6</f>
        <v>19129.32</v>
      </c>
    </row>
    <row r="7" spans="1:16">
      <c r="A7" s="491" t="str">
        <f t="shared" ca="1" si="0"/>
        <v>UFB-8 Health Benefits</v>
      </c>
      <c r="B7" s="491">
        <f>ROW()</f>
        <v>7</v>
      </c>
      <c r="C7" s="491" t="str">
        <f>'Cover Page'!K6</f>
        <v>1402</v>
      </c>
      <c r="D7" s="491">
        <f>'Cover Page'!K4</f>
        <v>2019</v>
      </c>
      <c r="E7" s="491" t="s">
        <v>2031</v>
      </c>
      <c r="F7" s="491" t="s">
        <v>2177</v>
      </c>
      <c r="G7" s="491" t="s">
        <v>2173</v>
      </c>
      <c r="H7" s="505">
        <f>'Cover Page'!M38</f>
        <v>0</v>
      </c>
      <c r="J7" s="161" t="s">
        <v>185</v>
      </c>
      <c r="K7" s="162">
        <v>5</v>
      </c>
      <c r="L7" s="271">
        <f>(22014.72+22014.72+22014.72+22014.72)/4</f>
        <v>22014.720000000001</v>
      </c>
      <c r="M7" s="272">
        <f>K7*L7</f>
        <v>110073.60000000001</v>
      </c>
      <c r="N7" s="162">
        <v>4</v>
      </c>
      <c r="O7" s="271">
        <f>(319482.84-253009.48)/4</f>
        <v>16618.340000000004</v>
      </c>
      <c r="P7" s="272">
        <f>N7*O7</f>
        <v>66473.360000000015</v>
      </c>
    </row>
    <row r="8" spans="1:16">
      <c r="A8" s="491" t="str">
        <f t="shared" ca="1" si="0"/>
        <v>UFB-8 Health Benefits</v>
      </c>
      <c r="B8" s="491">
        <f>ROW()</f>
        <v>8</v>
      </c>
      <c r="C8" s="491" t="str">
        <f>'Cover Page'!K6</f>
        <v>1402</v>
      </c>
      <c r="D8" s="491">
        <f>'Cover Page'!K4</f>
        <v>2019</v>
      </c>
      <c r="E8" s="491" t="s">
        <v>2031</v>
      </c>
      <c r="F8" s="491" t="s">
        <v>2177</v>
      </c>
      <c r="G8" s="491" t="s">
        <v>2174</v>
      </c>
      <c r="H8" s="505">
        <f>'Cover Page'!M38</f>
        <v>0</v>
      </c>
      <c r="J8" s="161" t="s">
        <v>186</v>
      </c>
      <c r="K8" s="162">
        <v>6</v>
      </c>
      <c r="L8" s="271">
        <f>(390324.18-203668.31)/6</f>
        <v>31109.311666666665</v>
      </c>
      <c r="M8" s="272">
        <f>K8*L8</f>
        <v>186655.87</v>
      </c>
      <c r="N8" s="162">
        <v>5</v>
      </c>
      <c r="O8" s="271">
        <v>31312.080000000002</v>
      </c>
      <c r="P8" s="272">
        <f>N8*O8</f>
        <v>156560.40000000002</v>
      </c>
    </row>
    <row r="9" spans="1:16">
      <c r="A9" s="491" t="str">
        <f t="shared" ca="1" si="0"/>
        <v>UFB-8 Health Benefits</v>
      </c>
      <c r="B9" s="491">
        <f>ROW()</f>
        <v>9</v>
      </c>
      <c r="C9" s="491" t="str">
        <f>'Cover Page'!K6</f>
        <v>1402</v>
      </c>
      <c r="D9" s="491">
        <f>'Cover Page'!K4</f>
        <v>2019</v>
      </c>
      <c r="E9" s="491" t="s">
        <v>2031</v>
      </c>
      <c r="F9" s="491" t="s">
        <v>2177</v>
      </c>
      <c r="G9" s="491" t="s">
        <v>2175</v>
      </c>
      <c r="H9" s="505">
        <f>'Cover Page'!M38</f>
        <v>0</v>
      </c>
      <c r="J9" s="161" t="s">
        <v>187</v>
      </c>
      <c r="K9" s="169"/>
      <c r="L9" s="557"/>
      <c r="M9" s="558">
        <v>-115571.88</v>
      </c>
      <c r="N9" s="169"/>
      <c r="O9" s="557"/>
      <c r="P9" s="558">
        <v>-80840.509999999995</v>
      </c>
    </row>
    <row r="10" spans="1:16">
      <c r="A10" s="491" t="str">
        <f ca="1">MID(CELL("filename",A10),FIND("]",CELL("filename",A10))+1,256)</f>
        <v>UFB-8 Health Benefits</v>
      </c>
      <c r="B10" s="491">
        <f>ROW()</f>
        <v>10</v>
      </c>
      <c r="C10" s="491" t="str">
        <f>'Cover Page'!K6</f>
        <v>1402</v>
      </c>
      <c r="D10" s="491">
        <f>'Cover Page'!K4</f>
        <v>2019</v>
      </c>
      <c r="E10" s="491" t="s">
        <v>2031</v>
      </c>
      <c r="F10" s="491" t="s">
        <v>2177</v>
      </c>
      <c r="G10" s="491" t="s">
        <v>2176</v>
      </c>
      <c r="H10" s="505">
        <f>'Cover Page'!M38</f>
        <v>0</v>
      </c>
      <c r="J10" s="161" t="s">
        <v>188</v>
      </c>
      <c r="K10" s="605">
        <f>SUM(K5:K8)</f>
        <v>19</v>
      </c>
      <c r="L10" s="557"/>
      <c r="M10" s="273">
        <f t="shared" ref="M10" si="1">SUM(M5:M9)</f>
        <v>274752.3</v>
      </c>
      <c r="N10" s="605">
        <f>SUM(N5:N8)</f>
        <v>17</v>
      </c>
      <c r="O10" s="557"/>
      <c r="P10" s="273">
        <f t="shared" ref="P10" si="2">SUM(P5:P9)</f>
        <v>238642.33000000002</v>
      </c>
    </row>
    <row r="11" spans="1:16" ht="3.75" customHeight="1">
      <c r="A11" s="491" t="str">
        <f ca="1">MID(CELL("filename",A11),FIND("]",CELL("filename",A11))+1,256)</f>
        <v>UFB-8 Health Benefits</v>
      </c>
      <c r="B11" s="491">
        <f>ROW()</f>
        <v>11</v>
      </c>
      <c r="C11" s="491" t="str">
        <f>'Cover Page'!K6</f>
        <v>1402</v>
      </c>
      <c r="D11" s="491">
        <f>'Cover Page'!K4</f>
        <v>2019</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1402</v>
      </c>
      <c r="D12" s="491">
        <f>'Cover Page'!K4</f>
        <v>2019</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1402</v>
      </c>
      <c r="D13" s="491">
        <f>'Cover Page'!K4</f>
        <v>2019</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1402</v>
      </c>
      <c r="D14" s="491">
        <f>'Cover Page'!K4</f>
        <v>2019</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1402</v>
      </c>
      <c r="D15" s="491">
        <f>'Cover Page'!K4</f>
        <v>2019</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1402</v>
      </c>
      <c r="D16" s="491">
        <f>'Cover Page'!K4</f>
        <v>2019</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1402</v>
      </c>
      <c r="D17" s="491">
        <f>'Cover Page'!K4</f>
        <v>2019</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1402</v>
      </c>
      <c r="D18" s="491">
        <f>'Cover Page'!K4</f>
        <v>2019</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1402</v>
      </c>
      <c r="D19" s="491">
        <f>'Cover Page'!K4</f>
        <v>2019</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1402</v>
      </c>
      <c r="D20" s="491">
        <f>'Cover Page'!K4</f>
        <v>2019</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1402</v>
      </c>
      <c r="D21" s="491">
        <f>'Cover Page'!K4</f>
        <v>2019</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1402</v>
      </c>
      <c r="D22" s="491">
        <f>'Cover Page'!K4</f>
        <v>2019</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1402</v>
      </c>
      <c r="D23" s="491">
        <f>'Cover Page'!K4</f>
        <v>2019</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1402</v>
      </c>
      <c r="D24" s="491">
        <f>'Cover Page'!K4</f>
        <v>2019</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1402</v>
      </c>
      <c r="D25" s="491">
        <f>'Cover Page'!K4</f>
        <v>2019</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1402</v>
      </c>
      <c r="D26" s="491">
        <f>'Cover Page'!K4</f>
        <v>2019</v>
      </c>
      <c r="E26" s="491" t="s">
        <v>2031</v>
      </c>
      <c r="F26" s="491" t="s">
        <v>2179</v>
      </c>
      <c r="G26" s="491" t="s">
        <v>2176</v>
      </c>
      <c r="H26" s="505">
        <f>'Cover Page'!M38</f>
        <v>0</v>
      </c>
      <c r="J26" s="161" t="s">
        <v>188</v>
      </c>
      <c r="K26" s="605">
        <f>SUM(K21:K24)</f>
        <v>0</v>
      </c>
      <c r="L26" s="557"/>
      <c r="M26" s="273">
        <f t="shared" ref="M26" si="5">SUM(M21:M25)</f>
        <v>0</v>
      </c>
      <c r="N26" s="605">
        <f>SUM(N21:N24)</f>
        <v>0</v>
      </c>
      <c r="O26" s="557"/>
      <c r="P26" s="273">
        <f t="shared" ref="P26" si="6">SUM(P21:P25)</f>
        <v>0</v>
      </c>
    </row>
    <row r="27" spans="1:19" ht="3" customHeight="1">
      <c r="A27" s="491" t="str">
        <f t="shared" ca="1" si="0"/>
        <v>UFB-8 Health Benefits</v>
      </c>
      <c r="B27" s="491">
        <f>ROW()</f>
        <v>27</v>
      </c>
      <c r="C27" s="491" t="str">
        <f>'Cover Page'!K6</f>
        <v>1402</v>
      </c>
      <c r="D27" s="491">
        <f>'Cover Page'!K4</f>
        <v>2019</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1402</v>
      </c>
      <c r="D28" s="491">
        <f>'Cover Page'!K4</f>
        <v>2019</v>
      </c>
      <c r="E28" s="491" t="s">
        <v>2031</v>
      </c>
      <c r="F28" s="491" t="s">
        <v>2180</v>
      </c>
      <c r="G28" s="491" t="s">
        <v>2181</v>
      </c>
      <c r="H28" s="505">
        <f>'Cover Page'!M38</f>
        <v>0</v>
      </c>
      <c r="J28" s="170" t="s">
        <v>191</v>
      </c>
      <c r="K28" s="606">
        <f>+K26+K18+K10</f>
        <v>19</v>
      </c>
      <c r="L28" s="557"/>
      <c r="M28" s="279">
        <f>+M26+M18+M10</f>
        <v>274752.3</v>
      </c>
      <c r="N28" s="606">
        <f>+N26+N18+N10</f>
        <v>17</v>
      </c>
      <c r="O28" s="557"/>
      <c r="P28" s="279">
        <f>+P26+P18+P10</f>
        <v>238642.33000000002</v>
      </c>
    </row>
    <row r="29" spans="1:19" ht="15.75" thickTop="1">
      <c r="A29" s="491" t="str">
        <f t="shared" ca="1" si="0"/>
        <v>UFB-8 Health Benefits</v>
      </c>
      <c r="B29" s="491">
        <f>ROW()</f>
        <v>29</v>
      </c>
      <c r="C29" s="491" t="str">
        <f>'Cover Page'!K6</f>
        <v>1402</v>
      </c>
      <c r="D29" s="491">
        <f>'Cover Page'!K4</f>
        <v>2019</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1402</v>
      </c>
      <c r="D30" s="491">
        <f>'Cover Page'!K4</f>
        <v>2019</v>
      </c>
      <c r="E30" s="491" t="s">
        <v>2031</v>
      </c>
      <c r="F30" s="491" t="s">
        <v>121</v>
      </c>
      <c r="G30" s="491" t="s">
        <v>121</v>
      </c>
      <c r="H30" s="505">
        <f>'Cover Page'!M38</f>
        <v>0</v>
      </c>
      <c r="J30" s="732" t="s">
        <v>2297</v>
      </c>
      <c r="K30" s="732"/>
      <c r="L30" s="732"/>
      <c r="M30" s="732"/>
      <c r="S30" s="154" t="s">
        <v>290</v>
      </c>
    </row>
    <row r="31" spans="1:19" ht="20.25">
      <c r="A31" s="491" t="str">
        <f t="shared" ca="1" si="0"/>
        <v>UFB-8 Health Benefits</v>
      </c>
      <c r="B31" s="491">
        <f>ROW()</f>
        <v>31</v>
      </c>
      <c r="C31" s="491" t="str">
        <f>'Cover Page'!K6</f>
        <v>1402</v>
      </c>
      <c r="D31" s="491">
        <f>'Cover Page'!K4</f>
        <v>2019</v>
      </c>
      <c r="E31" s="491" t="s">
        <v>2031</v>
      </c>
      <c r="F31" s="491" t="s">
        <v>2184</v>
      </c>
      <c r="G31" s="491" t="s">
        <v>2182</v>
      </c>
      <c r="H31" s="505">
        <f>'Cover Page'!M38</f>
        <v>0</v>
      </c>
      <c r="J31" s="172" t="s">
        <v>192</v>
      </c>
      <c r="K31" s="173"/>
      <c r="L31" s="154"/>
      <c r="M31" s="415" t="s">
        <v>290</v>
      </c>
      <c r="S31" s="154" t="s">
        <v>291</v>
      </c>
    </row>
    <row r="32" spans="1:19" ht="20.25">
      <c r="A32" s="491" t="str">
        <f t="shared" ca="1" si="0"/>
        <v>UFB-8 Health Benefits</v>
      </c>
      <c r="B32" s="491">
        <f>ROW()</f>
        <v>32</v>
      </c>
      <c r="C32" s="491" t="str">
        <f>'Cover Page'!K6</f>
        <v>1402</v>
      </c>
      <c r="D32" s="491">
        <f>'Cover Page'!K4</f>
        <v>2019</v>
      </c>
      <c r="E32" s="491" t="s">
        <v>2031</v>
      </c>
      <c r="F32" s="491" t="s">
        <v>2184</v>
      </c>
      <c r="G32" s="491" t="s">
        <v>2183</v>
      </c>
      <c r="H32" s="505">
        <f>'Cover Page'!M38</f>
        <v>0</v>
      </c>
      <c r="J32" s="172" t="s">
        <v>193</v>
      </c>
      <c r="K32" s="173"/>
      <c r="L32" s="154"/>
      <c r="M32" s="415" t="s">
        <v>290</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31" t="s">
        <v>194</v>
      </c>
      <c r="L34" s="731"/>
      <c r="M34" s="731"/>
      <c r="N34" s="731"/>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disablePrompts="1" count="1">
    <dataValidation type="list" allowBlank="1" showInputMessage="1" showErrorMessage="1" sqref="M31:M32" xr:uid="{00000000-0002-0000-0900-000000000000}">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P47"/>
  <sheetViews>
    <sheetView topLeftCell="K1" workbookViewId="0">
      <selection activeCell="O14" sqref="O14"/>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1402</v>
      </c>
      <c r="D1" s="491">
        <f>'Cover Page'!K4</f>
        <v>2019</v>
      </c>
      <c r="E1" s="491" t="s">
        <v>2031</v>
      </c>
      <c r="F1" s="491" t="s">
        <v>2185</v>
      </c>
      <c r="G1" s="491"/>
      <c r="H1" s="505">
        <f>'Cover Page'!M38</f>
        <v>0</v>
      </c>
      <c r="J1" s="686" t="s">
        <v>0</v>
      </c>
      <c r="K1" s="686"/>
      <c r="L1" s="686"/>
      <c r="M1" s="686"/>
      <c r="N1" s="686"/>
      <c r="O1" s="686"/>
      <c r="P1" s="686"/>
    </row>
    <row r="2" spans="1:16" ht="18.75">
      <c r="A2" s="491" t="str">
        <f ca="1">MID(CELL("filename",A2),FIND("]",CELL("filename",A2))+1,256)</f>
        <v>UFB-9 Accum. Absence Liability</v>
      </c>
      <c r="B2" s="491">
        <f>ROW()</f>
        <v>2</v>
      </c>
      <c r="C2" s="491" t="str">
        <f>'Cover Page'!K6</f>
        <v>1402</v>
      </c>
      <c r="D2" s="491">
        <f>'Cover Page'!K4</f>
        <v>2019</v>
      </c>
      <c r="E2" s="491" t="s">
        <v>2031</v>
      </c>
      <c r="F2" s="491" t="s">
        <v>2185</v>
      </c>
      <c r="G2" s="491" t="s">
        <v>121</v>
      </c>
      <c r="H2" s="505">
        <f>'Cover Page'!M38</f>
        <v>0</v>
      </c>
      <c r="J2" s="730" t="s">
        <v>2295</v>
      </c>
      <c r="K2" s="730"/>
      <c r="L2" s="730"/>
      <c r="M2" s="730"/>
      <c r="N2" s="730"/>
      <c r="O2" s="730"/>
      <c r="P2" s="730"/>
    </row>
    <row r="3" spans="1:16" s="176" customFormat="1">
      <c r="A3" s="491" t="str">
        <f t="shared" ref="A3:A41" ca="1" si="0">MID(CELL("filename",A3),FIND("]",CELL("filename",A3))+1,256)</f>
        <v>UFB-9 Accum. Absence Liability</v>
      </c>
      <c r="B3" s="491">
        <f>ROW()</f>
        <v>3</v>
      </c>
      <c r="C3" s="491" t="str">
        <f>'Cover Page'!K6</f>
        <v>1402</v>
      </c>
      <c r="D3" s="491">
        <f>'Cover Page'!K4</f>
        <v>2019</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1402</v>
      </c>
      <c r="D4" s="491">
        <f>'Cover Page'!K4</f>
        <v>2019</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1402</v>
      </c>
      <c r="D5" s="491">
        <f>'Cover Page'!K4</f>
        <v>2019</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1402</v>
      </c>
      <c r="D6" s="491">
        <f>'Cover Page'!K4</f>
        <v>2019</v>
      </c>
      <c r="E6" s="491" t="s">
        <v>2031</v>
      </c>
      <c r="F6" s="491" t="s">
        <v>2185</v>
      </c>
      <c r="G6" s="491" t="s">
        <v>2186</v>
      </c>
      <c r="H6" s="505">
        <f>'Cover Page'!M38</f>
        <v>0</v>
      </c>
      <c r="K6" s="416" t="s">
        <v>2341</v>
      </c>
      <c r="L6" s="668"/>
      <c r="M6" s="668"/>
      <c r="N6" s="668"/>
      <c r="O6" s="668"/>
      <c r="P6" s="419"/>
    </row>
    <row r="7" spans="1:16" ht="15">
      <c r="A7" s="491" t="str">
        <f t="shared" ca="1" si="0"/>
        <v>UFB-9 Accum. Absence Liability</v>
      </c>
      <c r="B7" s="491">
        <f>ROW()</f>
        <v>7</v>
      </c>
      <c r="C7" s="491" t="str">
        <f>'Cover Page'!K6</f>
        <v>1402</v>
      </c>
      <c r="D7" s="491">
        <f>'Cover Page'!K4</f>
        <v>2019</v>
      </c>
      <c r="E7" s="491" t="s">
        <v>2031</v>
      </c>
      <c r="F7" s="491" t="s">
        <v>2185</v>
      </c>
      <c r="G7" s="491" t="s">
        <v>2186</v>
      </c>
      <c r="H7" s="505">
        <f>'Cover Page'!M38</f>
        <v>0</v>
      </c>
      <c r="K7" s="420" t="s">
        <v>2343</v>
      </c>
      <c r="L7" s="417">
        <f>401/8</f>
        <v>50.125</v>
      </c>
      <c r="M7" s="418">
        <v>31141.31</v>
      </c>
      <c r="N7" s="419"/>
      <c r="O7" s="419" t="s">
        <v>2342</v>
      </c>
      <c r="P7" s="419"/>
    </row>
    <row r="8" spans="1:16" ht="15">
      <c r="A8" s="491" t="str">
        <f ca="1">MID(CELL("filename",A8),FIND("]",CELL("filename",A8))+1,256)</f>
        <v>UFB-9 Accum. Absence Liability</v>
      </c>
      <c r="B8" s="491">
        <f>ROW()</f>
        <v>8</v>
      </c>
      <c r="C8" s="491" t="str">
        <f>'Cover Page'!K6</f>
        <v>1402</v>
      </c>
      <c r="D8" s="491">
        <f>'Cover Page'!K4</f>
        <v>2019</v>
      </c>
      <c r="E8" s="491" t="s">
        <v>2031</v>
      </c>
      <c r="F8" s="491" t="s">
        <v>2185</v>
      </c>
      <c r="G8" s="491" t="s">
        <v>2186</v>
      </c>
      <c r="H8" s="505">
        <f>'Cover Page'!M38</f>
        <v>0</v>
      </c>
      <c r="K8" s="416" t="s">
        <v>2344</v>
      </c>
      <c r="L8" s="417">
        <v>51</v>
      </c>
      <c r="M8" s="418">
        <v>19811.54</v>
      </c>
      <c r="N8" s="419"/>
      <c r="O8" s="419" t="s">
        <v>2342</v>
      </c>
      <c r="P8" s="419"/>
    </row>
    <row r="9" spans="1:16" ht="15">
      <c r="A9" s="491" t="str">
        <f ca="1">MID(CELL("filename",A9),FIND("]",CELL("filename",A9))+1,256)</f>
        <v>UFB-9 Accum. Absence Liability</v>
      </c>
      <c r="B9" s="491">
        <f>ROW()</f>
        <v>9</v>
      </c>
      <c r="C9" s="491" t="str">
        <f>'Cover Page'!K6</f>
        <v>1402</v>
      </c>
      <c r="D9" s="491">
        <f>'Cover Page'!K4</f>
        <v>2019</v>
      </c>
      <c r="E9" s="491" t="s">
        <v>2031</v>
      </c>
      <c r="F9" s="491" t="s">
        <v>2185</v>
      </c>
      <c r="G9" s="491" t="s">
        <v>2186</v>
      </c>
      <c r="H9" s="505">
        <f>'Cover Page'!M38</f>
        <v>0</v>
      </c>
      <c r="K9" s="416" t="s">
        <v>2345</v>
      </c>
      <c r="L9" s="417">
        <v>38.75</v>
      </c>
      <c r="M9" s="418">
        <v>12342.17</v>
      </c>
      <c r="N9" s="419"/>
      <c r="O9" s="419" t="s">
        <v>2342</v>
      </c>
      <c r="P9" s="419"/>
    </row>
    <row r="10" spans="1:16" ht="15">
      <c r="A10" s="491" t="str">
        <f ca="1">MID(CELL("filename",A10),FIND("]",CELL("filename",A10))+1,256)</f>
        <v>UFB-9 Accum. Absence Liability</v>
      </c>
      <c r="B10" s="491">
        <f>ROW()</f>
        <v>10</v>
      </c>
      <c r="C10" s="491" t="str">
        <f>'Cover Page'!K6</f>
        <v>1402</v>
      </c>
      <c r="D10" s="491">
        <f>'Cover Page'!K4</f>
        <v>2019</v>
      </c>
      <c r="E10" s="491" t="s">
        <v>2031</v>
      </c>
      <c r="F10" s="491" t="s">
        <v>2185</v>
      </c>
      <c r="G10" s="491" t="s">
        <v>2186</v>
      </c>
      <c r="H10" s="505">
        <f>'Cover Page'!M38</f>
        <v>0</v>
      </c>
      <c r="K10" s="416" t="s">
        <v>2346</v>
      </c>
      <c r="L10" s="417">
        <v>0</v>
      </c>
      <c r="M10" s="418">
        <v>0</v>
      </c>
      <c r="N10" s="419"/>
      <c r="O10" s="419" t="s">
        <v>2342</v>
      </c>
      <c r="P10" s="419"/>
    </row>
    <row r="11" spans="1:16" ht="15">
      <c r="A11" s="491" t="str">
        <f ca="1">MID(CELL("filename",A11),FIND("]",CELL("filename",A11))+1,256)</f>
        <v>UFB-9 Accum. Absence Liability</v>
      </c>
      <c r="B11" s="491">
        <f>ROW()</f>
        <v>11</v>
      </c>
      <c r="C11" s="491" t="str">
        <f>'Cover Page'!K6</f>
        <v>1402</v>
      </c>
      <c r="D11" s="491">
        <f>'Cover Page'!K4</f>
        <v>2019</v>
      </c>
      <c r="E11" s="491" t="s">
        <v>2031</v>
      </c>
      <c r="F11" s="491" t="s">
        <v>2185</v>
      </c>
      <c r="G11" s="491" t="s">
        <v>2186</v>
      </c>
      <c r="H11" s="505">
        <f>'Cover Page'!M38</f>
        <v>0</v>
      </c>
      <c r="K11" s="416" t="s">
        <v>2347</v>
      </c>
      <c r="L11" s="417">
        <f>21.5+22+45.5+22+46</f>
        <v>157</v>
      </c>
      <c r="M11" s="418">
        <f>1581.74+4509.62+10411.1+3173.08+10525.51</f>
        <v>30201.050000000003</v>
      </c>
      <c r="N11" s="419"/>
      <c r="O11" s="419" t="s">
        <v>2342</v>
      </c>
      <c r="P11" s="419"/>
    </row>
    <row r="12" spans="1:16" ht="15">
      <c r="A12" s="491" t="str">
        <f t="shared" ca="1" si="0"/>
        <v>UFB-9 Accum. Absence Liability</v>
      </c>
      <c r="B12" s="491">
        <f>ROW()</f>
        <v>12</v>
      </c>
      <c r="C12" s="491" t="str">
        <f>'Cover Page'!K6</f>
        <v>1402</v>
      </c>
      <c r="D12" s="491">
        <f>'Cover Page'!K4</f>
        <v>2019</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1402</v>
      </c>
      <c r="D13" s="491">
        <f>'Cover Page'!K4</f>
        <v>2019</v>
      </c>
      <c r="E13" s="491" t="s">
        <v>2031</v>
      </c>
      <c r="F13" s="491" t="s">
        <v>2185</v>
      </c>
      <c r="G13" s="491" t="s">
        <v>2186</v>
      </c>
      <c r="H13" s="505">
        <f>'Cover Page'!M38</f>
        <v>0</v>
      </c>
      <c r="K13" s="416" t="s">
        <v>2348</v>
      </c>
      <c r="L13" s="417"/>
      <c r="M13" s="418"/>
      <c r="N13" s="419"/>
      <c r="O13" s="419"/>
      <c r="P13" s="419"/>
    </row>
    <row r="14" spans="1:16" ht="15">
      <c r="A14" s="491" t="str">
        <f t="shared" ca="1" si="0"/>
        <v>UFB-9 Accum. Absence Liability</v>
      </c>
      <c r="B14" s="491">
        <f>ROW()</f>
        <v>14</v>
      </c>
      <c r="C14" s="491" t="str">
        <f>'Cover Page'!K6</f>
        <v>1402</v>
      </c>
      <c r="D14" s="491">
        <f>'Cover Page'!K4</f>
        <v>2019</v>
      </c>
      <c r="E14" s="491" t="s">
        <v>2031</v>
      </c>
      <c r="F14" s="491" t="s">
        <v>2185</v>
      </c>
      <c r="G14" s="491" t="s">
        <v>2186</v>
      </c>
      <c r="H14" s="505">
        <f>'Cover Page'!M38</f>
        <v>0</v>
      </c>
      <c r="K14" s="416" t="s">
        <v>2349</v>
      </c>
      <c r="L14" s="417">
        <f>(5234-426)/8</f>
        <v>601</v>
      </c>
      <c r="M14" s="418">
        <f>272297.41-31141.31</f>
        <v>241156.09999999998</v>
      </c>
      <c r="N14" s="419" t="s">
        <v>2342</v>
      </c>
      <c r="O14" s="419" t="s">
        <v>2342</v>
      </c>
      <c r="P14" s="419"/>
    </row>
    <row r="15" spans="1:16" ht="15">
      <c r="A15" s="491" t="str">
        <f t="shared" ca="1" si="0"/>
        <v>UFB-9 Accum. Absence Liability</v>
      </c>
      <c r="B15" s="491">
        <f>ROW()</f>
        <v>15</v>
      </c>
      <c r="C15" s="491" t="str">
        <f>'Cover Page'!K6</f>
        <v>1402</v>
      </c>
      <c r="D15" s="491">
        <f>'Cover Page'!K4</f>
        <v>2019</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1402</v>
      </c>
      <c r="D16" s="491">
        <f>'Cover Page'!K4</f>
        <v>2019</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1402</v>
      </c>
      <c r="D17" s="491">
        <f>'Cover Page'!K4</f>
        <v>2019</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1402</v>
      </c>
      <c r="D18" s="491">
        <f>'Cover Page'!K4</f>
        <v>2019</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1402</v>
      </c>
      <c r="D19" s="491">
        <f>'Cover Page'!K4</f>
        <v>2019</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1402</v>
      </c>
      <c r="D32" s="491">
        <f>'Cover Page'!K4</f>
        <v>2019</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1402</v>
      </c>
      <c r="D33" s="491">
        <f>'Cover Page'!K4</f>
        <v>2019</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1402</v>
      </c>
      <c r="D34" s="491">
        <f>'Cover Page'!K4</f>
        <v>2019</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1402</v>
      </c>
      <c r="D35" s="491">
        <f>'Cover Page'!K4</f>
        <v>2019</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1402</v>
      </c>
      <c r="D36" s="491">
        <f>'Cover Page'!K4</f>
        <v>2019</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1402</v>
      </c>
      <c r="D37" s="491">
        <f>'Cover Page'!K4</f>
        <v>2019</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1402</v>
      </c>
      <c r="D38" s="491">
        <f>'Cover Page'!K4</f>
        <v>2019</v>
      </c>
      <c r="E38" s="491" t="s">
        <v>2031</v>
      </c>
      <c r="F38" s="491" t="s">
        <v>2185</v>
      </c>
      <c r="G38" s="491" t="s">
        <v>2187</v>
      </c>
      <c r="H38" s="505">
        <f>'Cover Page'!M38</f>
        <v>0</v>
      </c>
      <c r="K38" s="282" t="s">
        <v>175</v>
      </c>
      <c r="L38" s="281">
        <f>SUM(L7:L37)</f>
        <v>897.875</v>
      </c>
      <c r="M38" s="280">
        <f>SUM(M7:M37)</f>
        <v>334652.17</v>
      </c>
      <c r="N38" s="284"/>
      <c r="O38" s="283"/>
      <c r="P38" s="283"/>
    </row>
    <row r="39" spans="1:16">
      <c r="A39" s="491" t="str">
        <f t="shared" ca="1" si="0"/>
        <v>UFB-9 Accum. Absence Liability</v>
      </c>
      <c r="B39" s="491">
        <f>ROW()</f>
        <v>39</v>
      </c>
      <c r="C39" s="491" t="str">
        <f>'Cover Page'!K6</f>
        <v>1402</v>
      </c>
      <c r="D39" s="491">
        <f>'Cover Page'!K4</f>
        <v>2019</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1402</v>
      </c>
      <c r="D40" s="491">
        <f>'Cover Page'!K4</f>
        <v>2019</v>
      </c>
      <c r="E40" s="491" t="s">
        <v>2031</v>
      </c>
      <c r="F40" s="491" t="s">
        <v>2185</v>
      </c>
      <c r="G40" s="491" t="s">
        <v>2189</v>
      </c>
      <c r="H40" s="505">
        <f>'Cover Page'!M38</f>
        <v>0</v>
      </c>
      <c r="K40" s="186"/>
      <c r="L40" s="187" t="str">
        <f>"Total Funds Reserved as of end of "&amp;'Cover Page'!K4-1</f>
        <v>Total Funds Reserved as of end of 2018</v>
      </c>
      <c r="M40" s="425">
        <v>0</v>
      </c>
    </row>
    <row r="41" spans="1:16">
      <c r="A41" s="491" t="str">
        <f t="shared" ca="1" si="0"/>
        <v>UFB-9 Accum. Absence Liability</v>
      </c>
      <c r="B41" s="491">
        <f>ROW()</f>
        <v>41</v>
      </c>
      <c r="C41" s="491" t="str">
        <f>'Cover Page'!K6</f>
        <v>1402</v>
      </c>
      <c r="D41" s="491">
        <f>'Cover Page'!K4</f>
        <v>2019</v>
      </c>
      <c r="E41" s="491" t="s">
        <v>2031</v>
      </c>
      <c r="F41" s="491" t="s">
        <v>2185</v>
      </c>
      <c r="G41" s="491" t="s">
        <v>2188</v>
      </c>
      <c r="H41" s="505">
        <f>'Cover Page'!M38</f>
        <v>0</v>
      </c>
      <c r="K41" s="188"/>
      <c r="L41" s="187" t="str">
        <f>"Total Funds Appropriated in "&amp;'Cover Page'!K4</f>
        <v>Total Funds Appropriated in 2019</v>
      </c>
      <c r="M41" s="425">
        <v>0</v>
      </c>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1"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S41"/>
  <sheetViews>
    <sheetView topLeftCell="J1" workbookViewId="0">
      <selection activeCell="L31" sqref="L31"/>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1402</v>
      </c>
      <c r="D1" s="491">
        <f>'Cover Page'!K4</f>
        <v>2019</v>
      </c>
      <c r="E1" s="491" t="s">
        <v>2031</v>
      </c>
      <c r="F1" s="491" t="s">
        <v>2190</v>
      </c>
      <c r="G1" s="491"/>
      <c r="H1" s="505">
        <f>'Cover Page'!M38</f>
        <v>0</v>
      </c>
      <c r="J1" s="686" t="s">
        <v>272</v>
      </c>
      <c r="K1" s="686"/>
      <c r="L1" s="686"/>
      <c r="M1" s="686"/>
      <c r="N1" s="686"/>
      <c r="O1" s="686"/>
      <c r="P1" s="686"/>
      <c r="Q1" s="686"/>
      <c r="R1" s="686"/>
      <c r="S1" s="686"/>
    </row>
    <row r="2" spans="1:19" s="41" customFormat="1" ht="15.75">
      <c r="A2" s="491" t="str">
        <f ca="1">MID(CELL("filename",A2),FIND("]",CELL("filename",A2))+1,256)</f>
        <v>UFB-10 Debt</v>
      </c>
      <c r="B2" s="491">
        <f>ROW()</f>
        <v>2</v>
      </c>
      <c r="C2" s="491" t="str">
        <f>'Cover Page'!K6</f>
        <v>1402</v>
      </c>
      <c r="D2" s="491">
        <f>'Cover Page'!K4</f>
        <v>2019</v>
      </c>
      <c r="E2" s="491" t="s">
        <v>2031</v>
      </c>
      <c r="F2" s="491" t="s">
        <v>2190</v>
      </c>
      <c r="G2" s="491" t="s">
        <v>121</v>
      </c>
      <c r="H2" s="505">
        <f>'Cover Page'!M38</f>
        <v>0</v>
      </c>
      <c r="J2" s="374"/>
      <c r="K2" s="375" t="s">
        <v>213</v>
      </c>
      <c r="L2" s="375"/>
      <c r="M2" s="375" t="s">
        <v>214</v>
      </c>
      <c r="N2" s="376"/>
      <c r="O2" s="377"/>
      <c r="P2" s="378" t="s">
        <v>30</v>
      </c>
      <c r="Q2" s="562" t="str">
        <f>""&amp;'Cover Page'!K4+1</f>
        <v>2020</v>
      </c>
      <c r="R2" s="562" t="str">
        <f>""&amp;'Cover Page'!K4+2&amp;" "</f>
        <v xml:space="preserve">2021 </v>
      </c>
      <c r="S2" s="379" t="s">
        <v>215</v>
      </c>
    </row>
    <row r="3" spans="1:19" s="41" customFormat="1" ht="15.75">
      <c r="A3" s="491" t="str">
        <f t="shared" ref="A3:A34" ca="1" si="0">MID(CELL("filename",A3),FIND("]",CELL("filename",A3))+1,256)</f>
        <v>UFB-10 Debt</v>
      </c>
      <c r="B3" s="491">
        <f>ROW()</f>
        <v>3</v>
      </c>
      <c r="C3" s="491" t="str">
        <f>'Cover Page'!K6</f>
        <v>1402</v>
      </c>
      <c r="D3" s="491">
        <f>'Cover Page'!K4</f>
        <v>2019</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1402</v>
      </c>
      <c r="D4" s="491">
        <f>'Cover Page'!K4</f>
        <v>2019</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1402</v>
      </c>
      <c r="D5" s="491">
        <f>'Cover Page'!K4</f>
        <v>2019</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1402</v>
      </c>
      <c r="D6" s="491">
        <f>'Cover Page'!K4</f>
        <v>2019</v>
      </c>
      <c r="E6" s="491" t="s">
        <v>2031</v>
      </c>
      <c r="F6" s="491" t="s">
        <v>2190</v>
      </c>
      <c r="G6" s="491" t="s">
        <v>2071</v>
      </c>
      <c r="H6" s="505">
        <f>'Cover Page'!M38</f>
        <v>0</v>
      </c>
      <c r="I6" s="1" t="s">
        <v>2202</v>
      </c>
      <c r="J6" s="26" t="s">
        <v>218</v>
      </c>
      <c r="K6" s="285">
        <v>370000</v>
      </c>
      <c r="L6" s="285">
        <v>370000</v>
      </c>
      <c r="M6" s="426">
        <f>K6-L6</f>
        <v>0</v>
      </c>
      <c r="N6" s="221"/>
      <c r="O6" s="26" t="s">
        <v>219</v>
      </c>
      <c r="P6" s="285">
        <v>27000</v>
      </c>
      <c r="Q6" s="285">
        <v>28000</v>
      </c>
      <c r="R6" s="285"/>
      <c r="S6" s="285"/>
    </row>
    <row r="7" spans="1:19" ht="15.75">
      <c r="A7" s="491" t="str">
        <f t="shared" ca="1" si="0"/>
        <v>UFB-10 Debt</v>
      </c>
      <c r="B7" s="491">
        <f>ROW()</f>
        <v>7</v>
      </c>
      <c r="C7" s="491" t="str">
        <f>'Cover Page'!K6</f>
        <v>1402</v>
      </c>
      <c r="D7" s="491">
        <f>'Cover Page'!K4</f>
        <v>2019</v>
      </c>
      <c r="E7" s="491" t="s">
        <v>2031</v>
      </c>
      <c r="F7" s="491" t="s">
        <v>2190</v>
      </c>
      <c r="G7" s="491" t="s">
        <v>2072</v>
      </c>
      <c r="H7" s="505">
        <f>'Cover Page'!M38</f>
        <v>0</v>
      </c>
      <c r="I7" s="1" t="s">
        <v>2203</v>
      </c>
      <c r="J7" s="26" t="s">
        <v>220</v>
      </c>
      <c r="K7" s="285"/>
      <c r="L7" s="285"/>
      <c r="M7" s="426">
        <f>K7-L7</f>
        <v>0</v>
      </c>
      <c r="N7" s="221"/>
      <c r="O7" s="26" t="s">
        <v>221</v>
      </c>
      <c r="P7" s="285">
        <v>1452.5</v>
      </c>
      <c r="Q7" s="285">
        <v>490</v>
      </c>
      <c r="R7" s="285"/>
      <c r="S7" s="285"/>
    </row>
    <row r="8" spans="1:19" ht="15.75">
      <c r="A8" s="491" t="str">
        <f t="shared" ca="1" si="0"/>
        <v>UFB-10 Debt</v>
      </c>
      <c r="B8" s="491">
        <f>ROW()</f>
        <v>8</v>
      </c>
      <c r="C8" s="491" t="str">
        <f>'Cover Page'!K6</f>
        <v>1402</v>
      </c>
      <c r="D8" s="491">
        <f>'Cover Page'!K4</f>
        <v>2019</v>
      </c>
      <c r="E8" s="491" t="s">
        <v>2031</v>
      </c>
      <c r="F8" s="491" t="s">
        <v>2190</v>
      </c>
      <c r="G8" s="491" t="s">
        <v>121</v>
      </c>
      <c r="H8" s="505">
        <f>'Cover Page'!M38</f>
        <v>0</v>
      </c>
      <c r="I8" s="1" t="s">
        <v>2204</v>
      </c>
      <c r="J8" s="26"/>
      <c r="K8" s="286"/>
      <c r="L8" s="286"/>
      <c r="M8" s="286"/>
      <c r="N8" s="221"/>
      <c r="O8" s="26" t="s">
        <v>222</v>
      </c>
      <c r="P8" s="285">
        <v>311000</v>
      </c>
      <c r="Q8" s="664"/>
      <c r="R8" s="664"/>
      <c r="S8" s="664"/>
    </row>
    <row r="9" spans="1:19" ht="15.75">
      <c r="A9" s="491" t="str">
        <f t="shared" ca="1" si="0"/>
        <v>UFB-10 Debt</v>
      </c>
      <c r="B9" s="491">
        <f>ROW()</f>
        <v>9</v>
      </c>
      <c r="C9" s="491" t="str">
        <f>'Cover Page'!K6</f>
        <v>1402</v>
      </c>
      <c r="D9" s="491">
        <f>'Cover Page'!K4</f>
        <v>2019</v>
      </c>
      <c r="E9" s="491" t="s">
        <v>2031</v>
      </c>
      <c r="F9" s="491" t="s">
        <v>2190</v>
      </c>
      <c r="G9" s="491" t="s">
        <v>121</v>
      </c>
      <c r="H9" s="505">
        <f>'Cover Page'!M38</f>
        <v>0</v>
      </c>
      <c r="I9" s="1" t="s">
        <v>2205</v>
      </c>
      <c r="J9" s="26" t="s">
        <v>223</v>
      </c>
      <c r="K9" s="286"/>
      <c r="L9" s="286"/>
      <c r="M9" s="286"/>
      <c r="N9" s="221"/>
      <c r="O9" s="26" t="s">
        <v>224</v>
      </c>
      <c r="P9" s="285">
        <v>57900</v>
      </c>
      <c r="Q9" s="664"/>
      <c r="R9" s="664"/>
      <c r="S9" s="664"/>
    </row>
    <row r="10" spans="1:19" ht="15.75">
      <c r="A10" s="491" t="str">
        <f t="shared" ref="A10:A15" ca="1" si="1">MID(CELL("filename",A10),FIND("]",CELL("filename",A10))+1,256)</f>
        <v>UFB-10 Debt</v>
      </c>
      <c r="B10" s="491">
        <f>ROW()</f>
        <v>10</v>
      </c>
      <c r="C10" s="491" t="str">
        <f>'Cover Page'!K6</f>
        <v>1402</v>
      </c>
      <c r="D10" s="491">
        <f>'Cover Page'!K4</f>
        <v>2019</v>
      </c>
      <c r="E10" s="491" t="s">
        <v>2031</v>
      </c>
      <c r="F10" s="491" t="s">
        <v>2190</v>
      </c>
      <c r="G10" s="491" t="s">
        <v>2191</v>
      </c>
      <c r="H10" s="505">
        <f>'Cover Page'!M38</f>
        <v>0</v>
      </c>
      <c r="I10" s="1" t="s">
        <v>2206</v>
      </c>
      <c r="J10" s="634" t="str">
        <f>'UFB-2 Revenue Summary'!T3</f>
        <v xml:space="preserve">Water </v>
      </c>
      <c r="K10" s="285">
        <v>19000</v>
      </c>
      <c r="L10" s="285">
        <v>19000</v>
      </c>
      <c r="M10" s="426">
        <f t="shared" ref="M10:M15" si="2">K10-L10</f>
        <v>0</v>
      </c>
      <c r="N10" s="221"/>
      <c r="O10" s="26" t="s">
        <v>225</v>
      </c>
      <c r="P10" s="285">
        <v>308000</v>
      </c>
      <c r="Q10" s="285">
        <v>302000</v>
      </c>
      <c r="R10" s="285"/>
      <c r="S10" s="285"/>
    </row>
    <row r="11" spans="1:19" ht="15" customHeight="1">
      <c r="A11" s="491" t="str">
        <f t="shared" ca="1" si="1"/>
        <v>UFB-10 Debt</v>
      </c>
      <c r="B11" s="491">
        <f>ROW()</f>
        <v>11</v>
      </c>
      <c r="C11" s="491" t="str">
        <f>'Cover Page'!K6</f>
        <v>1402</v>
      </c>
      <c r="D11" s="491">
        <f>'Cover Page'!K4</f>
        <v>2019</v>
      </c>
      <c r="E11" s="491" t="s">
        <v>2031</v>
      </c>
      <c r="F11" s="491" t="s">
        <v>2190</v>
      </c>
      <c r="G11" s="491" t="s">
        <v>2191</v>
      </c>
      <c r="H11" s="505">
        <f>'Cover Page'!M38</f>
        <v>0</v>
      </c>
      <c r="I11" s="1" t="s">
        <v>2207</v>
      </c>
      <c r="J11" s="634" t="str">
        <f>'UFB-2 Revenue Summary'!U3</f>
        <v>Sewer</v>
      </c>
      <c r="K11" s="285">
        <v>36000</v>
      </c>
      <c r="L11" s="285">
        <v>36000</v>
      </c>
      <c r="M11" s="426">
        <f t="shared" si="2"/>
        <v>0</v>
      </c>
      <c r="N11" s="31"/>
      <c r="O11" s="26" t="s">
        <v>226</v>
      </c>
      <c r="P11" s="285">
        <v>15960</v>
      </c>
      <c r="Q11" s="285">
        <v>5285</v>
      </c>
      <c r="R11" s="285"/>
      <c r="S11" s="285"/>
    </row>
    <row r="12" spans="1:19" ht="15.75">
      <c r="A12" s="491" t="str">
        <f t="shared" ca="1" si="1"/>
        <v>UFB-10 Debt</v>
      </c>
      <c r="B12" s="491">
        <f>ROW()</f>
        <v>12</v>
      </c>
      <c r="C12" s="491" t="str">
        <f>'Cover Page'!K6</f>
        <v>1402</v>
      </c>
      <c r="D12" s="491">
        <f>'Cover Page'!K4</f>
        <v>2019</v>
      </c>
      <c r="E12" s="491" t="s">
        <v>2031</v>
      </c>
      <c r="F12" s="491" t="s">
        <v>2190</v>
      </c>
      <c r="G12" s="491" t="s">
        <v>2191</v>
      </c>
      <c r="H12" s="505">
        <f>'Cover Page'!M38</f>
        <v>0</v>
      </c>
      <c r="I12" s="1" t="s">
        <v>2208</v>
      </c>
      <c r="J12" s="635">
        <f>'UFB-2 Revenue Summary'!V3</f>
        <v>0</v>
      </c>
      <c r="K12" s="285"/>
      <c r="L12" s="285"/>
      <c r="M12" s="426">
        <f t="shared" si="2"/>
        <v>0</v>
      </c>
      <c r="N12" s="221"/>
      <c r="O12" s="26" t="s">
        <v>227</v>
      </c>
      <c r="P12" s="285"/>
      <c r="Q12" s="285"/>
      <c r="R12" s="285"/>
      <c r="S12" s="285"/>
    </row>
    <row r="13" spans="1:19" ht="15.75">
      <c r="A13" s="491" t="str">
        <f t="shared" ca="1" si="1"/>
        <v>UFB-10 Debt</v>
      </c>
      <c r="B13" s="491">
        <f>ROW()</f>
        <v>13</v>
      </c>
      <c r="C13" s="491" t="str">
        <f>'Cover Page'!K6</f>
        <v>1402</v>
      </c>
      <c r="D13" s="491">
        <f>'Cover Page'!K4</f>
        <v>2019</v>
      </c>
      <c r="E13" s="491" t="s">
        <v>2031</v>
      </c>
      <c r="F13" s="491" t="s">
        <v>2190</v>
      </c>
      <c r="G13" s="491" t="s">
        <v>2035</v>
      </c>
      <c r="H13" s="505">
        <f>'Cover Page'!M36</f>
        <v>0</v>
      </c>
      <c r="I13" s="1" t="s">
        <v>2209</v>
      </c>
      <c r="J13" s="635">
        <f>'UFB-2 Revenue Summary'!W3</f>
        <v>0</v>
      </c>
      <c r="K13" s="285"/>
      <c r="L13" s="285"/>
      <c r="M13" s="426">
        <f t="shared" si="2"/>
        <v>0</v>
      </c>
      <c r="N13" s="221"/>
      <c r="O13" s="26" t="s">
        <v>228</v>
      </c>
      <c r="P13" s="285"/>
      <c r="Q13" s="285"/>
      <c r="R13" s="285"/>
      <c r="S13" s="285"/>
    </row>
    <row r="14" spans="1:19" ht="15.75">
      <c r="A14" s="491" t="str">
        <f t="shared" ca="1" si="1"/>
        <v>UFB-10 Debt</v>
      </c>
      <c r="B14" s="491">
        <f>ROW()</f>
        <v>14</v>
      </c>
      <c r="C14" s="491" t="str">
        <f>'Cover Page'!K6</f>
        <v>1402</v>
      </c>
      <c r="D14" s="491">
        <f>'Cover Page'!K4</f>
        <v>2019</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1402</v>
      </c>
      <c r="D15" s="491">
        <f>'Cover Page'!K4</f>
        <v>2019</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721312.5</v>
      </c>
      <c r="Q15" s="430">
        <f>SUM(Q6:Q13)</f>
        <v>335775</v>
      </c>
      <c r="R15" s="430">
        <f>SUM(R6:R13)</f>
        <v>0</v>
      </c>
      <c r="S15" s="430">
        <f>SUM(S6:S13)</f>
        <v>0</v>
      </c>
    </row>
    <row r="16" spans="1:19" ht="16.5" thickTop="1">
      <c r="A16" s="491" t="str">
        <f t="shared" ca="1" si="0"/>
        <v>UFB-10 Debt</v>
      </c>
      <c r="B16" s="491">
        <f>ROW()</f>
        <v>16</v>
      </c>
      <c r="C16" s="491" t="str">
        <f>'Cover Page'!K6</f>
        <v>1402</v>
      </c>
      <c r="D16" s="491">
        <f>'Cover Page'!K4</f>
        <v>2019</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1402</v>
      </c>
      <c r="D17" s="491">
        <f>'Cover Page'!K4</f>
        <v>2019</v>
      </c>
      <c r="E17" s="491" t="s">
        <v>2031</v>
      </c>
      <c r="F17" s="491" t="s">
        <v>2190</v>
      </c>
      <c r="G17" s="491" t="s">
        <v>2192</v>
      </c>
      <c r="H17" s="505">
        <f>'Cover Page'!M38</f>
        <v>0</v>
      </c>
      <c r="I17" s="1" t="s">
        <v>2211</v>
      </c>
      <c r="J17" s="26" t="s">
        <v>230</v>
      </c>
      <c r="K17" s="285"/>
      <c r="L17" s="650"/>
      <c r="M17" s="426">
        <f t="shared" ref="M17:M20" si="4">K17-L17</f>
        <v>0</v>
      </c>
      <c r="N17" s="221"/>
      <c r="O17" s="220" t="s">
        <v>233</v>
      </c>
      <c r="P17" s="426">
        <f>P6+P8+P10+P12</f>
        <v>646000</v>
      </c>
      <c r="Q17" s="426">
        <f t="shared" ref="Q17:S17" si="5">Q6+Q8+Q10+Q12</f>
        <v>330000</v>
      </c>
      <c r="R17" s="426">
        <f t="shared" si="5"/>
        <v>0</v>
      </c>
      <c r="S17" s="426">
        <f t="shared" si="5"/>
        <v>0</v>
      </c>
    </row>
    <row r="18" spans="1:19" ht="15.75">
      <c r="A18" s="491" t="str">
        <f t="shared" ca="1" si="0"/>
        <v>UFB-10 Debt</v>
      </c>
      <c r="B18" s="491">
        <f>ROW()</f>
        <v>18</v>
      </c>
      <c r="C18" s="491" t="str">
        <f>'Cover Page'!K6</f>
        <v>1402</v>
      </c>
      <c r="D18" s="491">
        <f>'Cover Page'!K4</f>
        <v>2019</v>
      </c>
      <c r="E18" s="491" t="s">
        <v>2031</v>
      </c>
      <c r="F18" s="491" t="s">
        <v>2190</v>
      </c>
      <c r="G18" s="491" t="s">
        <v>2193</v>
      </c>
      <c r="H18" s="505">
        <f>'Cover Page'!M38</f>
        <v>0</v>
      </c>
      <c r="I18" s="1" t="s">
        <v>2212</v>
      </c>
      <c r="J18" s="26" t="s">
        <v>231</v>
      </c>
      <c r="K18" s="285">
        <v>1930000</v>
      </c>
      <c r="L18" s="650"/>
      <c r="M18" s="426">
        <f t="shared" si="4"/>
        <v>1930000</v>
      </c>
      <c r="N18" s="221"/>
      <c r="O18" s="220" t="s">
        <v>235</v>
      </c>
      <c r="P18" s="426">
        <f>P7+P9+P11+P13</f>
        <v>75312.5</v>
      </c>
      <c r="Q18" s="426">
        <f t="shared" ref="Q18:S18" si="6">Q7+Q9+Q11+Q13</f>
        <v>5775</v>
      </c>
      <c r="R18" s="426">
        <f t="shared" si="6"/>
        <v>0</v>
      </c>
      <c r="S18" s="426">
        <f t="shared" si="6"/>
        <v>0</v>
      </c>
    </row>
    <row r="19" spans="1:19" ht="16.5" thickBot="1">
      <c r="A19" s="491" t="str">
        <f t="shared" ca="1" si="0"/>
        <v>UFB-10 Debt</v>
      </c>
      <c r="B19" s="491">
        <f>ROW()</f>
        <v>19</v>
      </c>
      <c r="C19" s="491" t="str">
        <f>'Cover Page'!K6</f>
        <v>1402</v>
      </c>
      <c r="D19" s="491">
        <f>'Cover Page'!K4</f>
        <v>2019</v>
      </c>
      <c r="E19" s="491" t="s">
        <v>2031</v>
      </c>
      <c r="F19" s="491" t="s">
        <v>2190</v>
      </c>
      <c r="G19" s="491" t="s">
        <v>2194</v>
      </c>
      <c r="H19" s="505">
        <f>'Cover Page'!M38</f>
        <v>0</v>
      </c>
      <c r="I19" s="1" t="s">
        <v>2213</v>
      </c>
      <c r="J19" s="26" t="s">
        <v>232</v>
      </c>
      <c r="K19" s="285">
        <v>610000</v>
      </c>
      <c r="L19" s="650">
        <v>392369.31</v>
      </c>
      <c r="M19" s="426">
        <f t="shared" si="4"/>
        <v>217630.69</v>
      </c>
      <c r="N19" s="221"/>
      <c r="O19" s="8" t="s">
        <v>262</v>
      </c>
      <c r="P19" s="649">
        <f>+P15/'UFB-3 Appropriations Summary'!R28</f>
        <v>0.10240470750129819</v>
      </c>
      <c r="Q19" s="317"/>
      <c r="R19" s="318"/>
      <c r="S19" s="381"/>
    </row>
    <row r="20" spans="1:19" ht="16.5" thickTop="1">
      <c r="A20" s="491" t="str">
        <f t="shared" ca="1" si="0"/>
        <v>UFB-10 Debt</v>
      </c>
      <c r="B20" s="491">
        <f>ROW()</f>
        <v>20</v>
      </c>
      <c r="C20" s="491" t="str">
        <f>'Cover Page'!K6</f>
        <v>1402</v>
      </c>
      <c r="D20" s="491">
        <f>'Cover Page'!K4</f>
        <v>2019</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75">
      <c r="A21" s="491" t="str">
        <f t="shared" ca="1" si="0"/>
        <v>UFB-10 Debt</v>
      </c>
      <c r="B21" s="491">
        <f>ROW()</f>
        <v>21</v>
      </c>
      <c r="C21" s="491" t="str">
        <f>'Cover Page'!K6</f>
        <v>1402</v>
      </c>
      <c r="D21" s="491">
        <f>'Cover Page'!K4</f>
        <v>2019</v>
      </c>
      <c r="E21" s="491" t="s">
        <v>2031</v>
      </c>
      <c r="F21" s="491" t="s">
        <v>2190</v>
      </c>
      <c r="G21" s="491" t="s">
        <v>121</v>
      </c>
      <c r="H21" s="505">
        <f>'Cover Page'!M38</f>
        <v>0</v>
      </c>
      <c r="J21" s="39"/>
      <c r="K21" s="287"/>
      <c r="L21" s="288"/>
      <c r="M21" s="288"/>
      <c r="N21" s="221"/>
      <c r="O21" s="231" t="s">
        <v>237</v>
      </c>
      <c r="P21" s="733" t="s">
        <v>238</v>
      </c>
      <c r="Q21" s="734"/>
      <c r="R21" s="734"/>
      <c r="S21" s="735"/>
    </row>
    <row r="22" spans="1:19" ht="16.5" thickBot="1">
      <c r="A22" s="491" t="str">
        <f t="shared" ca="1" si="0"/>
        <v>UFB-10 Debt</v>
      </c>
      <c r="B22" s="491">
        <f>ROW()</f>
        <v>22</v>
      </c>
      <c r="C22" s="491" t="str">
        <f>'Cover Page'!K6</f>
        <v>1402</v>
      </c>
      <c r="D22" s="491">
        <f>'Cover Page'!K4</f>
        <v>2019</v>
      </c>
      <c r="E22" s="491" t="s">
        <v>2031</v>
      </c>
      <c r="F22" s="491" t="s">
        <v>2190</v>
      </c>
      <c r="G22" s="491" t="s">
        <v>2196</v>
      </c>
      <c r="H22" s="505">
        <f>'Cover Page'!M38</f>
        <v>0</v>
      </c>
      <c r="I22" s="1" t="s">
        <v>2214</v>
      </c>
      <c r="J22" s="225" t="s">
        <v>236</v>
      </c>
      <c r="K22" s="426">
        <f>SUM(K6:K20)</f>
        <v>2965000</v>
      </c>
      <c r="L22" s="426">
        <f>SUM(L6:L20)</f>
        <v>817369.31</v>
      </c>
      <c r="M22" s="426">
        <f>SUM(M6:M20)</f>
        <v>2147630.69</v>
      </c>
      <c r="N22" s="221"/>
      <c r="O22" s="232" t="s">
        <v>239</v>
      </c>
      <c r="P22" s="285"/>
      <c r="Q22" s="285"/>
      <c r="R22" s="292"/>
      <c r="S22" s="285"/>
    </row>
    <row r="23" spans="1:19" ht="16.5" thickTop="1">
      <c r="A23" s="491" t="str">
        <f t="shared" ca="1" si="0"/>
        <v>UFB-10 Debt</v>
      </c>
      <c r="B23" s="491">
        <f>ROW()</f>
        <v>23</v>
      </c>
      <c r="C23" s="491" t="str">
        <f>'Cover Page'!K6</f>
        <v>1402</v>
      </c>
      <c r="D23" s="491">
        <f>'Cover Page'!K4</f>
        <v>2019</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1402</v>
      </c>
      <c r="D24" s="491">
        <f>'Cover Page'!K4</f>
        <v>2019</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1402</v>
      </c>
      <c r="D25" s="491">
        <f>'Cover Page'!K4</f>
        <v>2019</v>
      </c>
      <c r="E25" s="491" t="s">
        <v>2031</v>
      </c>
      <c r="F25" s="491" t="s">
        <v>2190</v>
      </c>
      <c r="G25" s="491" t="s">
        <v>2197</v>
      </c>
      <c r="H25" s="505">
        <f>'Cover Page'!M38</f>
        <v>0</v>
      </c>
      <c r="I25" s="1" t="s">
        <v>2217</v>
      </c>
      <c r="J25" s="233" t="s">
        <v>240</v>
      </c>
      <c r="K25" s="427">
        <v>4263</v>
      </c>
      <c r="L25" s="220"/>
      <c r="M25" s="220"/>
      <c r="N25" s="221"/>
      <c r="O25" s="232" t="s">
        <v>243</v>
      </c>
      <c r="P25" s="285"/>
      <c r="Q25" s="285"/>
      <c r="R25" s="292"/>
      <c r="S25" s="285"/>
    </row>
    <row r="26" spans="1:19" ht="16.5" thickTop="1">
      <c r="A26" s="491" t="str">
        <f t="shared" ca="1" si="0"/>
        <v>UFB-10 Debt</v>
      </c>
      <c r="B26" s="491">
        <f>ROW()</f>
        <v>26</v>
      </c>
      <c r="C26" s="491" t="str">
        <f>'Cover Page'!K6</f>
        <v>1402</v>
      </c>
      <c r="D26" s="491">
        <f>'Cover Page'!K4</f>
        <v>2019</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1402</v>
      </c>
      <c r="D27" s="491">
        <f>'Cover Page'!K4</f>
        <v>2019</v>
      </c>
      <c r="E27" s="491" t="s">
        <v>2031</v>
      </c>
      <c r="F27" s="491" t="s">
        <v>2190</v>
      </c>
      <c r="G27" s="491" t="s">
        <v>2198</v>
      </c>
      <c r="H27" s="505">
        <f>'Cover Page'!M38</f>
        <v>0</v>
      </c>
      <c r="I27" s="1" t="s">
        <v>2198</v>
      </c>
      <c r="J27" s="233" t="s">
        <v>254</v>
      </c>
      <c r="K27" s="428">
        <f>K22/K25</f>
        <v>695.51958714520288</v>
      </c>
      <c r="N27" s="31"/>
      <c r="O27" s="238" t="s">
        <v>245</v>
      </c>
      <c r="P27" s="474" t="s">
        <v>246</v>
      </c>
      <c r="Q27" s="475" t="s">
        <v>247</v>
      </c>
      <c r="R27" s="474" t="s">
        <v>248</v>
      </c>
      <c r="S27" s="12"/>
    </row>
    <row r="28" spans="1:19" ht="17.25" thickTop="1" thickBot="1">
      <c r="A28" s="491" t="str">
        <f t="shared" ca="1" si="0"/>
        <v>UFB-10 Debt</v>
      </c>
      <c r="B28" s="491">
        <f>ROW()</f>
        <v>28</v>
      </c>
      <c r="C28" s="491" t="str">
        <f>'Cover Page'!K6</f>
        <v>1402</v>
      </c>
      <c r="D28" s="491">
        <f>'Cover Page'!K4</f>
        <v>2019</v>
      </c>
      <c r="E28" s="491" t="s">
        <v>2031</v>
      </c>
      <c r="F28" s="491" t="s">
        <v>2190</v>
      </c>
      <c r="G28" s="491" t="s">
        <v>2199</v>
      </c>
      <c r="H28" s="505">
        <f>'Cover Page'!M38</f>
        <v>0</v>
      </c>
      <c r="I28" s="1" t="s">
        <v>2218</v>
      </c>
      <c r="J28" s="26" t="s">
        <v>255</v>
      </c>
      <c r="K28" s="428">
        <f>M22/K25</f>
        <v>503.78388224255218</v>
      </c>
      <c r="N28" s="234"/>
      <c r="O28" s="241" t="s">
        <v>249</v>
      </c>
      <c r="P28" s="647"/>
      <c r="Q28" s="647" t="s">
        <v>2340</v>
      </c>
      <c r="R28" s="647"/>
      <c r="S28" s="239"/>
    </row>
    <row r="29" spans="1:19" ht="16.5" thickTop="1">
      <c r="A29" s="491" t="str">
        <f t="shared" ca="1" si="0"/>
        <v>UFB-10 Debt</v>
      </c>
      <c r="B29" s="491">
        <f>ROW()</f>
        <v>29</v>
      </c>
      <c r="C29" s="491" t="str">
        <f>'Cover Page'!K6</f>
        <v>1402</v>
      </c>
      <c r="D29" s="491">
        <f>'Cover Page'!K4</f>
        <v>2019</v>
      </c>
      <c r="E29" s="491" t="s">
        <v>2031</v>
      </c>
      <c r="F29" s="491" t="s">
        <v>2190</v>
      </c>
      <c r="G29" s="491" t="s">
        <v>121</v>
      </c>
      <c r="H29" s="505">
        <f>'Cover Page'!M38</f>
        <v>0</v>
      </c>
      <c r="I29" s="1" t="s">
        <v>2219</v>
      </c>
      <c r="J29" s="26"/>
      <c r="L29" s="236"/>
      <c r="M29" s="236"/>
      <c r="N29" s="240"/>
      <c r="O29" s="241" t="s">
        <v>251</v>
      </c>
      <c r="P29" s="648"/>
      <c r="Q29" s="648">
        <v>2014</v>
      </c>
      <c r="R29" s="648"/>
      <c r="S29" s="242"/>
    </row>
    <row r="30" spans="1:19" ht="15.75" thickBot="1">
      <c r="A30" s="491" t="str">
        <f t="shared" ca="1" si="0"/>
        <v>UFB-10 Debt</v>
      </c>
      <c r="B30" s="491">
        <f>ROW()</f>
        <v>30</v>
      </c>
      <c r="C30" s="491" t="str">
        <f>'Cover Page'!K6</f>
        <v>1402</v>
      </c>
      <c r="D30" s="491">
        <f>'Cover Page'!K4</f>
        <v>2019</v>
      </c>
      <c r="E30" s="491" t="s">
        <v>2031</v>
      </c>
      <c r="F30" s="491" t="s">
        <v>2190</v>
      </c>
      <c r="G30" s="491" t="s">
        <v>2200</v>
      </c>
      <c r="H30" s="505">
        <f>'Cover Page'!M38</f>
        <v>0</v>
      </c>
      <c r="J30" s="233" t="s">
        <v>244</v>
      </c>
      <c r="K30" s="237"/>
      <c r="L30" s="290">
        <v>933005731</v>
      </c>
      <c r="M30" s="237"/>
      <c r="N30" s="240"/>
      <c r="S30" s="242"/>
    </row>
    <row r="31" spans="1:19" ht="19.5" thickTop="1">
      <c r="A31" s="491" t="str">
        <f t="shared" ca="1" si="0"/>
        <v>UFB-10 Debt</v>
      </c>
      <c r="B31" s="491">
        <f>ROW()</f>
        <v>31</v>
      </c>
      <c r="C31" s="491" t="str">
        <f>'Cover Page'!K6</f>
        <v>1402</v>
      </c>
      <c r="D31" s="491">
        <f>'Cover Page'!K4</f>
        <v>2019</v>
      </c>
      <c r="E31" s="491" t="s">
        <v>2031</v>
      </c>
      <c r="F31" s="491" t="s">
        <v>2190</v>
      </c>
      <c r="G31" s="491" t="s">
        <v>121</v>
      </c>
      <c r="H31" s="505">
        <f>'Cover Page'!M38</f>
        <v>0</v>
      </c>
      <c r="I31" s="1" t="s">
        <v>2220</v>
      </c>
      <c r="J31" s="26"/>
      <c r="N31" s="38"/>
      <c r="O31" s="291" t="s">
        <v>256</v>
      </c>
      <c r="P31" s="37"/>
      <c r="Q31" s="646"/>
      <c r="R31" s="37"/>
      <c r="S31" s="244"/>
    </row>
    <row r="32" spans="1:19" s="20" customFormat="1" ht="15.75" thickBot="1">
      <c r="A32" s="491" t="str">
        <f t="shared" ca="1" si="0"/>
        <v>UFB-10 Debt</v>
      </c>
      <c r="B32" s="491">
        <f>ROW()</f>
        <v>32</v>
      </c>
      <c r="C32" s="491" t="str">
        <f>'Cover Page'!K6</f>
        <v>1402</v>
      </c>
      <c r="D32" s="491">
        <f>'Cover Page'!K4</f>
        <v>2019</v>
      </c>
      <c r="E32" s="491" t="s">
        <v>2031</v>
      </c>
      <c r="F32" s="491" t="s">
        <v>2190</v>
      </c>
      <c r="G32" s="491" t="s">
        <v>2201</v>
      </c>
      <c r="H32" s="505">
        <f>'Cover Page'!M38</f>
        <v>0</v>
      </c>
      <c r="I32" s="20" t="s">
        <v>2290</v>
      </c>
      <c r="J32" s="233" t="s">
        <v>250</v>
      </c>
      <c r="K32" s="243"/>
      <c r="L32" s="429">
        <f>M22/L30</f>
        <v>2.3018408340302037E-3</v>
      </c>
      <c r="M32" s="242"/>
      <c r="N32" s="8"/>
      <c r="P32" s="8"/>
      <c r="Q32" s="8"/>
      <c r="R32" s="8"/>
      <c r="S32" s="8"/>
    </row>
    <row r="33" spans="1:19" ht="15" thickTop="1">
      <c r="A33" s="491" t="str">
        <f t="shared" ca="1" si="0"/>
        <v>UFB-10 Debt</v>
      </c>
      <c r="B33" s="491">
        <f>ROW()</f>
        <v>33</v>
      </c>
      <c r="C33" s="491" t="str">
        <f>'Cover Page'!K6</f>
        <v>1402</v>
      </c>
      <c r="D33" s="491">
        <f>'Cover Page'!K4</f>
        <v>2019</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algorithmName="SHA-512" hashValue="9NkT56vyetNi/OpbmgLTL9iCIMDSluXLnMN3NuYVqjwEPPHJfbuajNZT522l9ZgjaK44R/ps6+GnsTlYMf/r4g==" saltValue="3X9mTv2Nlmi7mXyviIFc3w==" spinCount="100000"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S49"/>
  <sheetViews>
    <sheetView topLeftCell="J1" workbookViewId="0">
      <selection activeCell="O7" sqref="O7"/>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1402</v>
      </c>
      <c r="D1" s="491">
        <f>'Cover Page'!K4</f>
        <v>2019</v>
      </c>
      <c r="E1" s="491" t="s">
        <v>2031</v>
      </c>
      <c r="F1" s="491" t="s">
        <v>2221</v>
      </c>
      <c r="G1" s="491"/>
      <c r="H1" s="505">
        <f>'Cover Page'!M38</f>
        <v>0</v>
      </c>
      <c r="J1" s="686" t="s">
        <v>286</v>
      </c>
      <c r="K1" s="686"/>
      <c r="L1" s="686"/>
      <c r="M1" s="686"/>
      <c r="N1" s="686"/>
      <c r="O1" s="686"/>
      <c r="P1" s="686"/>
    </row>
    <row r="2" spans="1:16" ht="15.75" thickBot="1">
      <c r="A2" s="491" t="str">
        <f ca="1">MID(CELL("filename",A2),FIND("]",CELL("filename",A2))+1,256)</f>
        <v>UFB-11 Shared Services</v>
      </c>
      <c r="B2" s="491">
        <f>ROW()</f>
        <v>2</v>
      </c>
      <c r="C2" s="491" t="str">
        <f>'Cover Page'!K6</f>
        <v>1402</v>
      </c>
      <c r="D2" s="491">
        <f>'Cover Page'!K4</f>
        <v>2019</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1402</v>
      </c>
      <c r="D3" s="491">
        <f>'Cover Page'!K4</f>
        <v>2019</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1402</v>
      </c>
      <c r="D4" s="491">
        <f>'Cover Page'!K4</f>
        <v>2019</v>
      </c>
      <c r="E4" s="491" t="s">
        <v>2031</v>
      </c>
      <c r="F4" s="491" t="s">
        <v>2221</v>
      </c>
      <c r="G4" s="491" t="s">
        <v>2222</v>
      </c>
      <c r="H4" s="505">
        <f>'Cover Page'!M38</f>
        <v>0</v>
      </c>
      <c r="J4" s="384" t="s">
        <v>282</v>
      </c>
      <c r="K4" s="195" t="s">
        <v>2332</v>
      </c>
      <c r="L4" s="195" t="s">
        <v>2333</v>
      </c>
      <c r="M4" s="196"/>
      <c r="N4" s="197">
        <v>43466</v>
      </c>
      <c r="O4" s="198">
        <v>43830</v>
      </c>
      <c r="P4" s="294">
        <v>108858</v>
      </c>
    </row>
    <row r="5" spans="1:16" s="199" customFormat="1" ht="15.75">
      <c r="A5" s="491" t="str">
        <f t="shared" ca="1" si="0"/>
        <v>UFB-11 Shared Services</v>
      </c>
      <c r="B5" s="491">
        <f>ROW()</f>
        <v>5</v>
      </c>
      <c r="C5" s="491" t="str">
        <f>'Cover Page'!K6</f>
        <v>1402</v>
      </c>
      <c r="D5" s="491">
        <f>'Cover Page'!K4</f>
        <v>2019</v>
      </c>
      <c r="E5" s="491" t="s">
        <v>2031</v>
      </c>
      <c r="F5" s="491" t="s">
        <v>2221</v>
      </c>
      <c r="G5" s="491" t="s">
        <v>2222</v>
      </c>
      <c r="H5" s="505">
        <f>'Cover Page'!M38</f>
        <v>0</v>
      </c>
      <c r="J5" s="384" t="s">
        <v>282</v>
      </c>
      <c r="K5" s="195" t="s">
        <v>2332</v>
      </c>
      <c r="L5" s="195" t="s">
        <v>2334</v>
      </c>
      <c r="M5" s="200"/>
      <c r="N5" s="197">
        <v>42736</v>
      </c>
      <c r="O5" s="198">
        <v>44926</v>
      </c>
      <c r="P5" s="295">
        <v>11750</v>
      </c>
    </row>
    <row r="6" spans="1:16" s="199" customFormat="1" ht="15.75">
      <c r="A6" s="491" t="str">
        <f t="shared" ca="1" si="0"/>
        <v>UFB-11 Shared Services</v>
      </c>
      <c r="B6" s="491">
        <f>ROW()</f>
        <v>6</v>
      </c>
      <c r="C6" s="491" t="str">
        <f>'Cover Page'!K6</f>
        <v>1402</v>
      </c>
      <c r="D6" s="491">
        <f>'Cover Page'!K4</f>
        <v>2019</v>
      </c>
      <c r="E6" s="491" t="s">
        <v>2031</v>
      </c>
      <c r="F6" s="491" t="s">
        <v>2221</v>
      </c>
      <c r="G6" s="491" t="s">
        <v>2222</v>
      </c>
      <c r="H6" s="505">
        <f>'Cover Page'!M38</f>
        <v>0</v>
      </c>
      <c r="J6" s="384" t="s">
        <v>282</v>
      </c>
      <c r="K6" s="195" t="s">
        <v>2335</v>
      </c>
      <c r="L6" s="195" t="s">
        <v>2336</v>
      </c>
      <c r="M6" s="200"/>
      <c r="N6" s="197">
        <v>40179</v>
      </c>
      <c r="O6" s="198">
        <v>43830</v>
      </c>
      <c r="P6" s="295">
        <v>15000</v>
      </c>
    </row>
    <row r="7" spans="1:16" s="199" customFormat="1" ht="15.75">
      <c r="A7" s="491" t="str">
        <f t="shared" ca="1" si="0"/>
        <v>UFB-11 Shared Services</v>
      </c>
      <c r="B7" s="491">
        <f>ROW()</f>
        <v>7</v>
      </c>
      <c r="C7" s="491" t="str">
        <f>'Cover Page'!K6</f>
        <v>1402</v>
      </c>
      <c r="D7" s="491">
        <f>'Cover Page'!K4</f>
        <v>2019</v>
      </c>
      <c r="E7" s="491" t="s">
        <v>2031</v>
      </c>
      <c r="F7" s="491" t="s">
        <v>2221</v>
      </c>
      <c r="G7" s="491" t="s">
        <v>2222</v>
      </c>
      <c r="H7" s="505">
        <f>'Cover Page'!M38</f>
        <v>0</v>
      </c>
      <c r="J7" s="384" t="s">
        <v>282</v>
      </c>
      <c r="K7" s="195" t="s">
        <v>2337</v>
      </c>
      <c r="L7" s="195" t="s">
        <v>2338</v>
      </c>
      <c r="M7" s="200" t="s">
        <v>2339</v>
      </c>
      <c r="N7" s="197">
        <v>41061</v>
      </c>
      <c r="O7" s="198">
        <v>43617</v>
      </c>
      <c r="P7" s="295">
        <v>3400</v>
      </c>
    </row>
    <row r="8" spans="1:16" s="199" customFormat="1" ht="15.75">
      <c r="A8" s="491" t="str">
        <f t="shared" ca="1" si="0"/>
        <v>UFB-11 Shared Services</v>
      </c>
      <c r="B8" s="491">
        <f>ROW()</f>
        <v>8</v>
      </c>
      <c r="C8" s="491" t="str">
        <f>'Cover Page'!K6</f>
        <v>1402</v>
      </c>
      <c r="D8" s="491">
        <f>'Cover Page'!K4</f>
        <v>2019</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1402</v>
      </c>
      <c r="D9" s="491">
        <f>'Cover Page'!K4</f>
        <v>2019</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1402</v>
      </c>
      <c r="D10" s="491">
        <f>'Cover Page'!K4</f>
        <v>2019</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1402</v>
      </c>
      <c r="D11" s="491">
        <f>'Cover Page'!K4</f>
        <v>2019</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1402</v>
      </c>
      <c r="D12" s="491">
        <f>'Cover Page'!K4</f>
        <v>2019</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1402</v>
      </c>
      <c r="D13" s="491">
        <f>'Cover Page'!K4</f>
        <v>2019</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1402</v>
      </c>
      <c r="D14" s="491">
        <f>'Cover Page'!K4</f>
        <v>2019</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1402</v>
      </c>
      <c r="D15" s="491">
        <f>'Cover Page'!K4</f>
        <v>2019</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1402</v>
      </c>
      <c r="D16" s="491">
        <f>'Cover Page'!K4</f>
        <v>2019</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1402</v>
      </c>
      <c r="D17" s="491">
        <f>'Cover Page'!K4</f>
        <v>2019</v>
      </c>
      <c r="E17" s="491" t="s">
        <v>2031</v>
      </c>
      <c r="F17" s="491" t="s">
        <v>2221</v>
      </c>
      <c r="G17" s="491" t="s">
        <v>2222</v>
      </c>
      <c r="H17" s="505">
        <f>'Cover Page'!M25</f>
        <v>43830</v>
      </c>
      <c r="J17" s="384"/>
      <c r="K17" s="195"/>
      <c r="L17" s="195"/>
      <c r="M17" s="201"/>
      <c r="N17" s="197"/>
      <c r="O17" s="198"/>
      <c r="P17" s="295"/>
    </row>
    <row r="18" spans="1:19" s="199" customFormat="1" ht="15.75">
      <c r="A18" s="491" t="str">
        <f t="shared" ca="1" si="0"/>
        <v>UFB-11 Shared Services</v>
      </c>
      <c r="B18" s="491">
        <f>ROW()</f>
        <v>18</v>
      </c>
      <c r="C18" s="491" t="str">
        <f>'Cover Page'!K6</f>
        <v>1402</v>
      </c>
      <c r="D18" s="491">
        <f>'Cover Page'!K4</f>
        <v>2019</v>
      </c>
      <c r="E18" s="491" t="s">
        <v>2031</v>
      </c>
      <c r="F18" s="491" t="s">
        <v>2221</v>
      </c>
      <c r="G18" s="491" t="s">
        <v>2222</v>
      </c>
      <c r="H18" s="505">
        <f>'Cover Page'!M25</f>
        <v>43830</v>
      </c>
      <c r="J18" s="384"/>
      <c r="K18" s="195"/>
      <c r="L18" s="195"/>
      <c r="M18" s="201"/>
      <c r="N18" s="197"/>
      <c r="O18" s="198"/>
      <c r="P18" s="295"/>
    </row>
    <row r="19" spans="1:19" s="199" customFormat="1" ht="15.75">
      <c r="A19" s="491" t="str">
        <f t="shared" ca="1" si="0"/>
        <v>UFB-11 Shared Services</v>
      </c>
      <c r="B19" s="491">
        <f>ROW()</f>
        <v>19</v>
      </c>
      <c r="C19" s="491" t="str">
        <f>'Cover Page'!K6</f>
        <v>1402</v>
      </c>
      <c r="D19" s="491">
        <f>'Cover Page'!K4</f>
        <v>2019</v>
      </c>
      <c r="E19" s="491" t="s">
        <v>2031</v>
      </c>
      <c r="F19" s="491" t="s">
        <v>2221</v>
      </c>
      <c r="G19" s="491" t="s">
        <v>2222</v>
      </c>
      <c r="H19" s="505">
        <f>'Cover Page'!M25</f>
        <v>43830</v>
      </c>
      <c r="J19" s="384"/>
      <c r="K19" s="195"/>
      <c r="L19" s="195"/>
      <c r="M19" s="201" t="s">
        <v>121</v>
      </c>
      <c r="N19" s="197"/>
      <c r="O19" s="198"/>
      <c r="P19" s="295"/>
    </row>
    <row r="20" spans="1:19" s="199" customFormat="1" ht="15.75">
      <c r="A20" s="491" t="str">
        <f t="shared" ca="1" si="0"/>
        <v>UFB-11 Shared Services</v>
      </c>
      <c r="B20" s="491">
        <f>ROW()</f>
        <v>20</v>
      </c>
      <c r="C20" s="491" t="str">
        <f>'Cover Page'!K6</f>
        <v>1402</v>
      </c>
      <c r="D20" s="491">
        <f>'Cover Page'!K4</f>
        <v>2019</v>
      </c>
      <c r="E20" s="491" t="s">
        <v>2031</v>
      </c>
      <c r="F20" s="491" t="s">
        <v>2221</v>
      </c>
      <c r="G20" s="491" t="s">
        <v>2222</v>
      </c>
      <c r="H20" s="505">
        <f>'Cover Page'!M25</f>
        <v>43830</v>
      </c>
      <c r="J20" s="384"/>
      <c r="K20" s="195"/>
      <c r="L20" s="195"/>
      <c r="M20" s="201"/>
      <c r="N20" s="197"/>
      <c r="O20" s="198"/>
      <c r="P20" s="295"/>
    </row>
    <row r="21" spans="1:19" s="199" customFormat="1" ht="15.75">
      <c r="A21" s="491" t="str">
        <f t="shared" ca="1" si="0"/>
        <v>UFB-11 Shared Services</v>
      </c>
      <c r="B21" s="491">
        <f>ROW()</f>
        <v>21</v>
      </c>
      <c r="C21" s="491" t="str">
        <f>'Cover Page'!K6</f>
        <v>1402</v>
      </c>
      <c r="D21" s="491">
        <f>'Cover Page'!K4</f>
        <v>2019</v>
      </c>
      <c r="E21" s="491" t="s">
        <v>2031</v>
      </c>
      <c r="F21" s="491" t="s">
        <v>2221</v>
      </c>
      <c r="G21" s="491" t="s">
        <v>2222</v>
      </c>
      <c r="H21" s="505">
        <f>'Cover Page'!M25</f>
        <v>43830</v>
      </c>
      <c r="J21" s="384"/>
      <c r="K21" s="195"/>
      <c r="L21" s="195"/>
      <c r="M21" s="201"/>
      <c r="N21" s="197"/>
      <c r="O21" s="198"/>
      <c r="P21" s="295"/>
      <c r="S21" s="659" t="s">
        <v>281</v>
      </c>
    </row>
    <row r="22" spans="1:19" s="199" customFormat="1" ht="15.75">
      <c r="A22" s="491" t="str">
        <f t="shared" ca="1" si="0"/>
        <v>UFB-11 Shared Services</v>
      </c>
      <c r="B22" s="491">
        <f>ROW()</f>
        <v>22</v>
      </c>
      <c r="C22" s="491" t="str">
        <f>'Cover Page'!K6</f>
        <v>1402</v>
      </c>
      <c r="D22" s="491">
        <f>'Cover Page'!K4</f>
        <v>2019</v>
      </c>
      <c r="E22" s="491" t="s">
        <v>2031</v>
      </c>
      <c r="F22" s="491" t="s">
        <v>2221</v>
      </c>
      <c r="G22" s="491" t="s">
        <v>2222</v>
      </c>
      <c r="H22" s="505">
        <f>'Cover Page'!M25</f>
        <v>43830</v>
      </c>
      <c r="J22" s="384"/>
      <c r="K22" s="195"/>
      <c r="L22" s="195"/>
      <c r="M22" s="201"/>
      <c r="N22" s="197"/>
      <c r="O22" s="198"/>
      <c r="P22" s="295"/>
      <c r="S22" s="659" t="s">
        <v>282</v>
      </c>
    </row>
    <row r="23" spans="1:19" s="199" customFormat="1" ht="15.75">
      <c r="A23" s="491" t="str">
        <f t="shared" ca="1" si="0"/>
        <v>UFB-11 Shared Services</v>
      </c>
      <c r="B23" s="491">
        <f>ROW()</f>
        <v>23</v>
      </c>
      <c r="C23" s="491" t="str">
        <f>'Cover Page'!K6</f>
        <v>1402</v>
      </c>
      <c r="D23" s="491">
        <f>'Cover Page'!K4</f>
        <v>2019</v>
      </c>
      <c r="E23" s="491" t="s">
        <v>2031</v>
      </c>
      <c r="F23" s="491" t="s">
        <v>2221</v>
      </c>
      <c r="G23" s="491" t="s">
        <v>2222</v>
      </c>
      <c r="H23" s="505">
        <f>'Cover Page'!M25</f>
        <v>43830</v>
      </c>
      <c r="J23" s="384"/>
      <c r="K23" s="195"/>
      <c r="L23" s="195"/>
      <c r="M23" s="201"/>
      <c r="N23" s="197"/>
      <c r="O23" s="198"/>
      <c r="P23" s="295"/>
      <c r="S23" s="660"/>
    </row>
    <row r="24" spans="1:19" s="199" customFormat="1" ht="15.75">
      <c r="A24" s="491" t="str">
        <f t="shared" ca="1" si="0"/>
        <v>UFB-11 Shared Services</v>
      </c>
      <c r="B24" s="491">
        <f>ROW()</f>
        <v>24</v>
      </c>
      <c r="C24" s="491" t="str">
        <f>'Cover Page'!K6</f>
        <v>1402</v>
      </c>
      <c r="D24" s="491">
        <f>'Cover Page'!K4</f>
        <v>2019</v>
      </c>
      <c r="E24" s="491" t="s">
        <v>2031</v>
      </c>
      <c r="F24" s="491" t="s">
        <v>2221</v>
      </c>
      <c r="G24" s="491" t="s">
        <v>2222</v>
      </c>
      <c r="H24" s="505">
        <f>'Cover Page'!M25</f>
        <v>43830</v>
      </c>
      <c r="J24" s="384"/>
      <c r="K24" s="195"/>
      <c r="L24" s="195"/>
      <c r="M24" s="201"/>
      <c r="N24" s="197"/>
      <c r="O24" s="198"/>
      <c r="P24" s="295"/>
      <c r="S24" s="660"/>
    </row>
    <row r="25" spans="1:19" s="199" customFormat="1" ht="15.75">
      <c r="A25" s="491" t="str">
        <f t="shared" ca="1" si="0"/>
        <v>UFB-11 Shared Services</v>
      </c>
      <c r="B25" s="491">
        <f>ROW()</f>
        <v>25</v>
      </c>
      <c r="C25" s="491" t="str">
        <f>'Cover Page'!K6</f>
        <v>1402</v>
      </c>
      <c r="D25" s="491">
        <f>'Cover Page'!K4</f>
        <v>2019</v>
      </c>
      <c r="E25" s="491" t="s">
        <v>2031</v>
      </c>
      <c r="F25" s="491" t="s">
        <v>2221</v>
      </c>
      <c r="G25" s="491" t="s">
        <v>2222</v>
      </c>
      <c r="H25" s="505">
        <f>'Cover Page'!M25</f>
        <v>43830</v>
      </c>
      <c r="J25" s="384"/>
      <c r="K25" s="195"/>
      <c r="L25" s="195"/>
      <c r="M25" s="201"/>
      <c r="N25" s="197"/>
      <c r="O25" s="198"/>
      <c r="P25" s="295"/>
      <c r="S25" s="660"/>
    </row>
    <row r="26" spans="1:19" s="199" customFormat="1" ht="15.75">
      <c r="A26" s="491" t="str">
        <f t="shared" ca="1" si="0"/>
        <v>UFB-11 Shared Services</v>
      </c>
      <c r="B26" s="491">
        <f>ROW()</f>
        <v>26</v>
      </c>
      <c r="C26" s="491" t="str">
        <f>'Cover Page'!K6</f>
        <v>1402</v>
      </c>
      <c r="D26" s="491">
        <f>'Cover Page'!K4</f>
        <v>2019</v>
      </c>
      <c r="E26" s="491" t="s">
        <v>2031</v>
      </c>
      <c r="F26" s="491" t="s">
        <v>2221</v>
      </c>
      <c r="G26" s="491" t="s">
        <v>2222</v>
      </c>
      <c r="H26" s="505">
        <f>'Cover Page'!M25</f>
        <v>43830</v>
      </c>
      <c r="J26" s="384"/>
      <c r="K26" s="195"/>
      <c r="L26" s="195"/>
      <c r="M26" s="201"/>
      <c r="N26" s="197"/>
      <c r="O26" s="198"/>
      <c r="P26" s="295"/>
      <c r="S26" s="660"/>
    </row>
    <row r="27" spans="1:19" s="199" customFormat="1" ht="15.75">
      <c r="A27" s="491" t="str">
        <f t="shared" ca="1" si="0"/>
        <v>UFB-11 Shared Services</v>
      </c>
      <c r="B27" s="491">
        <f>ROW()</f>
        <v>27</v>
      </c>
      <c r="C27" s="491" t="str">
        <f>'Cover Page'!K6</f>
        <v>1402</v>
      </c>
      <c r="D27" s="491">
        <f>'Cover Page'!K4</f>
        <v>2019</v>
      </c>
      <c r="E27" s="491" t="s">
        <v>2031</v>
      </c>
      <c r="F27" s="491" t="s">
        <v>2221</v>
      </c>
      <c r="G27" s="491" t="s">
        <v>2222</v>
      </c>
      <c r="H27" s="505">
        <f>'Cover Page'!M25</f>
        <v>43830</v>
      </c>
      <c r="J27" s="384"/>
      <c r="K27" s="195"/>
      <c r="L27" s="195"/>
      <c r="M27" s="201"/>
      <c r="N27" s="403"/>
      <c r="O27" s="404"/>
      <c r="P27" s="295"/>
      <c r="S27" s="660"/>
    </row>
    <row r="28" spans="1:19" s="199" customFormat="1" ht="15.75">
      <c r="A28" s="491" t="str">
        <f t="shared" ca="1" si="0"/>
        <v>UFB-11 Shared Services</v>
      </c>
      <c r="B28" s="491">
        <f>ROW()</f>
        <v>28</v>
      </c>
      <c r="C28" s="491" t="str">
        <f>'Cover Page'!K6</f>
        <v>1402</v>
      </c>
      <c r="D28" s="491">
        <f>'Cover Page'!K4</f>
        <v>2019</v>
      </c>
      <c r="E28" s="491" t="s">
        <v>2031</v>
      </c>
      <c r="F28" s="491" t="s">
        <v>2221</v>
      </c>
      <c r="G28" s="491" t="s">
        <v>2222</v>
      </c>
      <c r="H28" s="505">
        <f>'Cover Page'!M25</f>
        <v>43830</v>
      </c>
      <c r="J28" s="384"/>
      <c r="K28" s="195"/>
      <c r="L28" s="195"/>
      <c r="M28" s="201"/>
      <c r="N28" s="197"/>
      <c r="O28" s="198"/>
      <c r="P28" s="295"/>
      <c r="S28" s="660"/>
    </row>
    <row r="29" spans="1:19" s="199" customFormat="1" ht="15.75">
      <c r="A29" s="491" t="str">
        <f t="shared" ca="1" si="0"/>
        <v>UFB-11 Shared Services</v>
      </c>
      <c r="B29" s="491">
        <f>ROW()</f>
        <v>29</v>
      </c>
      <c r="C29" s="491" t="str">
        <f>'Cover Page'!K6</f>
        <v>1402</v>
      </c>
      <c r="D29" s="491">
        <f>'Cover Page'!K4</f>
        <v>2019</v>
      </c>
      <c r="E29" s="491" t="s">
        <v>2031</v>
      </c>
      <c r="F29" s="491" t="s">
        <v>2221</v>
      </c>
      <c r="G29" s="491" t="s">
        <v>2222</v>
      </c>
      <c r="H29" s="505">
        <f>'Cover Page'!M38</f>
        <v>0</v>
      </c>
      <c r="J29" s="384"/>
      <c r="K29" s="195"/>
      <c r="L29" s="195"/>
      <c r="M29" s="201"/>
      <c r="N29" s="197"/>
      <c r="O29" s="198"/>
      <c r="P29" s="295"/>
      <c r="S29" s="660"/>
    </row>
    <row r="30" spans="1:19" s="199" customFormat="1" ht="15.75">
      <c r="A30" s="491" t="str">
        <f t="shared" ca="1" si="0"/>
        <v>UFB-11 Shared Services</v>
      </c>
      <c r="B30" s="491">
        <f>ROW()</f>
        <v>30</v>
      </c>
      <c r="C30" s="491" t="str">
        <f>'Cover Page'!K6</f>
        <v>1402</v>
      </c>
      <c r="D30" s="491">
        <f>'Cover Page'!K4</f>
        <v>2019</v>
      </c>
      <c r="E30" s="491" t="s">
        <v>2031</v>
      </c>
      <c r="F30" s="491" t="s">
        <v>2221</v>
      </c>
      <c r="G30" s="491" t="s">
        <v>2222</v>
      </c>
      <c r="H30" s="505">
        <f>'Cover Page'!M38</f>
        <v>0</v>
      </c>
      <c r="J30" s="384"/>
      <c r="K30" s="195"/>
      <c r="L30" s="195"/>
      <c r="M30" s="201"/>
      <c r="N30" s="197"/>
      <c r="O30" s="198"/>
      <c r="P30" s="295"/>
      <c r="S30" s="660"/>
    </row>
    <row r="31" spans="1:19" s="199" customFormat="1" ht="15.75">
      <c r="A31" s="491" t="str">
        <f t="shared" ca="1" si="0"/>
        <v>UFB-11 Shared Services</v>
      </c>
      <c r="B31" s="491">
        <f>ROW()</f>
        <v>31</v>
      </c>
      <c r="C31" s="491" t="str">
        <f>'Cover Page'!K6</f>
        <v>1402</v>
      </c>
      <c r="D31" s="491">
        <f>'Cover Page'!K4</f>
        <v>2019</v>
      </c>
      <c r="E31" s="491" t="s">
        <v>2031</v>
      </c>
      <c r="F31" s="491" t="s">
        <v>2221</v>
      </c>
      <c r="G31" s="491" t="s">
        <v>2222</v>
      </c>
      <c r="H31" s="505">
        <f>'Cover Page'!M38</f>
        <v>0</v>
      </c>
      <c r="J31" s="384"/>
      <c r="K31" s="195"/>
      <c r="L31" s="195"/>
      <c r="M31" s="201" t="s">
        <v>121</v>
      </c>
      <c r="N31" s="197"/>
      <c r="O31" s="198"/>
      <c r="P31" s="295"/>
      <c r="S31" s="660"/>
    </row>
    <row r="32" spans="1:19" s="199" customFormat="1" ht="15.75">
      <c r="A32" s="491" t="str">
        <f t="shared" ca="1" si="0"/>
        <v>UFB-11 Shared Services</v>
      </c>
      <c r="B32" s="491">
        <f>ROW()</f>
        <v>32</v>
      </c>
      <c r="C32" s="491" t="str">
        <f>'Cover Page'!K6</f>
        <v>1402</v>
      </c>
      <c r="D32" s="491">
        <f>'Cover Page'!K4</f>
        <v>2019</v>
      </c>
      <c r="E32" s="491" t="s">
        <v>2031</v>
      </c>
      <c r="F32" s="491" t="s">
        <v>2221</v>
      </c>
      <c r="G32" s="491" t="s">
        <v>2222</v>
      </c>
      <c r="H32" s="505">
        <f>'Cover Page'!M38</f>
        <v>0</v>
      </c>
      <c r="J32" s="384"/>
      <c r="K32" s="195"/>
      <c r="L32" s="195"/>
      <c r="M32" s="201"/>
      <c r="N32" s="197"/>
      <c r="O32" s="198"/>
      <c r="P32" s="295"/>
      <c r="S32" s="660"/>
    </row>
    <row r="33" spans="1:19" s="199" customFormat="1" ht="15.75">
      <c r="A33" s="491" t="str">
        <f t="shared" ca="1" si="0"/>
        <v>UFB-11 Shared Services</v>
      </c>
      <c r="B33" s="491">
        <f>ROW()</f>
        <v>33</v>
      </c>
      <c r="C33" s="491" t="str">
        <f>'Cover Page'!K6</f>
        <v>1402</v>
      </c>
      <c r="D33" s="491">
        <f>'Cover Page'!K4</f>
        <v>2019</v>
      </c>
      <c r="E33" s="491" t="s">
        <v>2031</v>
      </c>
      <c r="F33" s="491" t="s">
        <v>2221</v>
      </c>
      <c r="G33" s="491" t="s">
        <v>2222</v>
      </c>
      <c r="H33" s="505">
        <f>'Cover Page'!M38</f>
        <v>0</v>
      </c>
      <c r="J33" s="384"/>
      <c r="K33" s="195"/>
      <c r="L33" s="195"/>
      <c r="M33" s="201"/>
      <c r="N33" s="197"/>
      <c r="O33" s="198"/>
      <c r="P33" s="295"/>
      <c r="S33" s="659" t="s">
        <v>281</v>
      </c>
    </row>
    <row r="34" spans="1:19" s="199" customFormat="1" ht="15.75">
      <c r="A34" s="491" t="str">
        <f t="shared" ca="1" si="0"/>
        <v>UFB-11 Shared Services</v>
      </c>
      <c r="B34" s="491">
        <f>ROW()</f>
        <v>34</v>
      </c>
      <c r="C34" s="491" t="str">
        <f>'Cover Page'!K6</f>
        <v>1402</v>
      </c>
      <c r="D34" s="491">
        <f>'Cover Page'!K4</f>
        <v>2019</v>
      </c>
      <c r="E34" s="491" t="s">
        <v>2031</v>
      </c>
      <c r="F34" s="491" t="s">
        <v>2221</v>
      </c>
      <c r="G34" s="491" t="s">
        <v>2222</v>
      </c>
      <c r="H34" s="505">
        <f>'Cover Page'!M38</f>
        <v>0</v>
      </c>
      <c r="J34" s="384"/>
      <c r="K34" s="195"/>
      <c r="L34" s="195"/>
      <c r="M34" s="201"/>
      <c r="N34" s="197"/>
      <c r="O34" s="198"/>
      <c r="P34" s="295"/>
      <c r="S34" s="659" t="s">
        <v>282</v>
      </c>
    </row>
    <row r="35" spans="1:19" s="199" customFormat="1" ht="15.75">
      <c r="A35" s="491" t="str">
        <f t="shared" ca="1" si="0"/>
        <v>UFB-11 Shared Services</v>
      </c>
      <c r="B35" s="491">
        <f>ROW()</f>
        <v>35</v>
      </c>
      <c r="C35" s="491" t="str">
        <f>'Cover Page'!K6</f>
        <v>1402</v>
      </c>
      <c r="D35" s="491">
        <f>'Cover Page'!K4</f>
        <v>2019</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1402</v>
      </c>
      <c r="D36" s="491">
        <f>'Cover Page'!K4</f>
        <v>2019</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1402</v>
      </c>
      <c r="D37" s="491">
        <f>'Cover Page'!K4</f>
        <v>2019</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1402</v>
      </c>
      <c r="D38" s="491">
        <f>'Cover Page'!K4</f>
        <v>2019</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6" t="s">
        <v>208</v>
      </c>
      <c r="K40" s="736"/>
      <c r="L40" s="736"/>
      <c r="M40" s="736"/>
      <c r="N40" s="736"/>
      <c r="O40" s="736"/>
      <c r="P40" s="736"/>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xr:uid="{00000000-0002-0000-0C00-000000000000}">
      <formula1>$S$32:$S$34</formula1>
    </dataValidation>
  </dataValidations>
  <printOptions horizontalCentered="1" verticalCentered="1"/>
  <pageMargins left="0.2" right="0.2" top="0.25" bottom="0.25" header="0.3" footer="0.3"/>
  <pageSetup paperSize="5"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T39"/>
  <sheetViews>
    <sheetView topLeftCell="K1" workbookViewId="0">
      <selection activeCell="K5" sqref="K5:T5"/>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1402</v>
      </c>
      <c r="D1" s="491">
        <f>'Cover Page'!K4</f>
        <v>2019</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1402</v>
      </c>
      <c r="D2" s="491">
        <f>'Cover Page'!K4</f>
        <v>2019</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1402</v>
      </c>
      <c r="D3" s="491">
        <f>'Cover Page'!K4</f>
        <v>2019</v>
      </c>
      <c r="E3" s="491" t="s">
        <v>2031</v>
      </c>
      <c r="F3" s="491" t="s">
        <v>2223</v>
      </c>
      <c r="G3" s="491" t="s">
        <v>121</v>
      </c>
      <c r="H3" s="505">
        <f>'Cover Page'!M38</f>
        <v>0</v>
      </c>
      <c r="K3" s="458" t="s">
        <v>304</v>
      </c>
    </row>
    <row r="4" spans="1:20">
      <c r="A4" s="491" t="str">
        <f t="shared" ca="1" si="0"/>
        <v>UFB-12 Auth. &amp; Fire Dist.</v>
      </c>
      <c r="B4" s="491">
        <f>ROW()</f>
        <v>4</v>
      </c>
      <c r="C4" s="491" t="str">
        <f>'Cover Page'!K6</f>
        <v>1402</v>
      </c>
      <c r="D4" s="491">
        <f>'Cover Page'!K4</f>
        <v>2019</v>
      </c>
      <c r="E4" s="491" t="s">
        <v>2031</v>
      </c>
      <c r="F4" s="491" t="s">
        <v>2223</v>
      </c>
      <c r="G4" s="491" t="s">
        <v>2223</v>
      </c>
      <c r="H4" s="505">
        <f>'Cover Page'!M38</f>
        <v>0</v>
      </c>
      <c r="K4" s="681" t="s">
        <v>2331</v>
      </c>
      <c r="L4" s="737"/>
      <c r="M4" s="737"/>
      <c r="N4" s="737"/>
      <c r="O4" s="737"/>
      <c r="P4" s="737"/>
      <c r="Q4" s="737"/>
      <c r="R4" s="737"/>
      <c r="S4" s="737"/>
      <c r="T4" s="738"/>
    </row>
    <row r="5" spans="1:20">
      <c r="A5" s="491" t="str">
        <f t="shared" ca="1" si="0"/>
        <v>UFB-12 Auth. &amp; Fire Dist.</v>
      </c>
      <c r="B5" s="491">
        <f>ROW()</f>
        <v>5</v>
      </c>
      <c r="C5" s="491" t="str">
        <f>'Cover Page'!K6</f>
        <v>1402</v>
      </c>
      <c r="D5" s="491">
        <f>'Cover Page'!K4</f>
        <v>2019</v>
      </c>
      <c r="E5" s="491" t="s">
        <v>2031</v>
      </c>
      <c r="F5" s="491" t="s">
        <v>2223</v>
      </c>
      <c r="G5" s="491" t="s">
        <v>2223</v>
      </c>
      <c r="H5" s="505">
        <f>'Cover Page'!M38</f>
        <v>0</v>
      </c>
      <c r="K5" s="681"/>
      <c r="L5" s="737"/>
      <c r="M5" s="737"/>
      <c r="N5" s="737"/>
      <c r="O5" s="737"/>
      <c r="P5" s="737"/>
      <c r="Q5" s="737"/>
      <c r="R5" s="737"/>
      <c r="S5" s="737"/>
      <c r="T5" s="738"/>
    </row>
    <row r="6" spans="1:20">
      <c r="A6" s="491" t="str">
        <f t="shared" ca="1" si="0"/>
        <v>UFB-12 Auth. &amp; Fire Dist.</v>
      </c>
      <c r="B6" s="491">
        <f>ROW()</f>
        <v>6</v>
      </c>
      <c r="C6" s="491" t="str">
        <f>'Cover Page'!K6</f>
        <v>1402</v>
      </c>
      <c r="D6" s="491">
        <f>'Cover Page'!K4</f>
        <v>2019</v>
      </c>
      <c r="E6" s="491" t="s">
        <v>2031</v>
      </c>
      <c r="F6" s="491" t="s">
        <v>2223</v>
      </c>
      <c r="G6" s="491" t="s">
        <v>2223</v>
      </c>
      <c r="H6" s="505">
        <f>'Cover Page'!M38</f>
        <v>0</v>
      </c>
      <c r="K6" s="681"/>
      <c r="L6" s="737"/>
      <c r="M6" s="737"/>
      <c r="N6" s="737"/>
      <c r="O6" s="737"/>
      <c r="P6" s="737"/>
      <c r="Q6" s="737"/>
      <c r="R6" s="737"/>
      <c r="S6" s="737"/>
      <c r="T6" s="738"/>
    </row>
    <row r="7" spans="1:20">
      <c r="A7" s="491" t="str">
        <f t="shared" ca="1" si="0"/>
        <v>UFB-12 Auth. &amp; Fire Dist.</v>
      </c>
      <c r="B7" s="491">
        <f>ROW()</f>
        <v>7</v>
      </c>
      <c r="C7" s="491" t="str">
        <f>'Cover Page'!K6</f>
        <v>1402</v>
      </c>
      <c r="D7" s="491">
        <f>'Cover Page'!K4</f>
        <v>2019</v>
      </c>
      <c r="E7" s="491" t="s">
        <v>2031</v>
      </c>
      <c r="F7" s="491" t="s">
        <v>2223</v>
      </c>
      <c r="G7" s="491" t="s">
        <v>2223</v>
      </c>
      <c r="H7" s="505">
        <f>'Cover Page'!M38</f>
        <v>0</v>
      </c>
      <c r="K7" s="681"/>
      <c r="L7" s="737"/>
      <c r="M7" s="737"/>
      <c r="N7" s="737"/>
      <c r="O7" s="737"/>
      <c r="P7" s="737"/>
      <c r="Q7" s="737"/>
      <c r="R7" s="737"/>
      <c r="S7" s="737"/>
      <c r="T7" s="738"/>
    </row>
    <row r="8" spans="1:20">
      <c r="A8" s="491" t="str">
        <f t="shared" ca="1" si="0"/>
        <v>UFB-12 Auth. &amp; Fire Dist.</v>
      </c>
      <c r="B8" s="491">
        <f>ROW()</f>
        <v>8</v>
      </c>
      <c r="C8" s="491" t="str">
        <f>'Cover Page'!K6</f>
        <v>1402</v>
      </c>
      <c r="D8" s="491">
        <f>'Cover Page'!K4</f>
        <v>2019</v>
      </c>
      <c r="E8" s="491" t="s">
        <v>2031</v>
      </c>
      <c r="F8" s="491" t="s">
        <v>2223</v>
      </c>
      <c r="G8" s="491" t="s">
        <v>2223</v>
      </c>
      <c r="H8" s="505">
        <f>'Cover Page'!M38</f>
        <v>0</v>
      </c>
      <c r="K8" s="681"/>
      <c r="L8" s="737"/>
      <c r="M8" s="737"/>
      <c r="N8" s="737"/>
      <c r="O8" s="737"/>
      <c r="P8" s="737"/>
      <c r="Q8" s="737"/>
      <c r="R8" s="737"/>
      <c r="S8" s="737"/>
      <c r="T8" s="738"/>
    </row>
    <row r="9" spans="1:20">
      <c r="A9" s="491" t="str">
        <f t="shared" ca="1" si="0"/>
        <v>UFB-12 Auth. &amp; Fire Dist.</v>
      </c>
      <c r="B9" s="491">
        <f>ROW()</f>
        <v>9</v>
      </c>
      <c r="C9" s="491" t="str">
        <f>'Cover Page'!K6</f>
        <v>1402</v>
      </c>
      <c r="D9" s="491">
        <f>'Cover Page'!K4</f>
        <v>2019</v>
      </c>
      <c r="E9" s="491" t="s">
        <v>2031</v>
      </c>
      <c r="F9" s="491" t="s">
        <v>2223</v>
      </c>
      <c r="G9" s="491" t="s">
        <v>2223</v>
      </c>
      <c r="H9" s="505">
        <f>'Cover Page'!M38</f>
        <v>0</v>
      </c>
      <c r="K9" s="681"/>
      <c r="L9" s="737"/>
      <c r="M9" s="737"/>
      <c r="N9" s="737"/>
      <c r="O9" s="737"/>
      <c r="P9" s="737"/>
      <c r="Q9" s="737"/>
      <c r="R9" s="737"/>
      <c r="S9" s="737"/>
      <c r="T9" s="738"/>
    </row>
    <row r="10" spans="1:20">
      <c r="A10" s="491" t="str">
        <f ca="1">MID(CELL("filename",A10),FIND("]",CELL("filename",A10))+1,256)</f>
        <v>UFB-12 Auth. &amp; Fire Dist.</v>
      </c>
      <c r="B10" s="491">
        <f>ROW()</f>
        <v>10</v>
      </c>
      <c r="C10" s="491" t="str">
        <f>'Cover Page'!K6</f>
        <v>1402</v>
      </c>
      <c r="D10" s="491">
        <f>'Cover Page'!K4</f>
        <v>2019</v>
      </c>
      <c r="E10" s="491" t="s">
        <v>2031</v>
      </c>
      <c r="F10" s="491" t="s">
        <v>2223</v>
      </c>
      <c r="G10" s="491" t="s">
        <v>2223</v>
      </c>
      <c r="H10" s="505">
        <f>'Cover Page'!M38</f>
        <v>0</v>
      </c>
      <c r="K10" s="681"/>
      <c r="L10" s="737"/>
      <c r="M10" s="737"/>
      <c r="N10" s="737"/>
      <c r="O10" s="737"/>
      <c r="P10" s="737"/>
      <c r="Q10" s="737"/>
      <c r="R10" s="737"/>
      <c r="S10" s="737"/>
      <c r="T10" s="738"/>
    </row>
    <row r="11" spans="1:20">
      <c r="A11" s="491" t="str">
        <f ca="1">MID(CELL("filename",A11),FIND("]",CELL("filename",A11))+1,256)</f>
        <v>UFB-12 Auth. &amp; Fire Dist.</v>
      </c>
      <c r="B11" s="491">
        <f>ROW()</f>
        <v>11</v>
      </c>
      <c r="C11" s="491" t="str">
        <f>'Cover Page'!K6</f>
        <v>1402</v>
      </c>
      <c r="D11" s="491">
        <f>'Cover Page'!K4</f>
        <v>2019</v>
      </c>
      <c r="E11" s="491" t="s">
        <v>2031</v>
      </c>
      <c r="F11" s="491" t="s">
        <v>2223</v>
      </c>
      <c r="G11" s="491" t="s">
        <v>2223</v>
      </c>
      <c r="H11" s="505">
        <f>'Cover Page'!M38</f>
        <v>0</v>
      </c>
      <c r="K11" s="681"/>
      <c r="L11" s="737"/>
      <c r="M11" s="737"/>
      <c r="N11" s="737"/>
      <c r="O11" s="737"/>
      <c r="P11" s="737"/>
      <c r="Q11" s="737"/>
      <c r="R11" s="737"/>
      <c r="S11" s="737"/>
      <c r="T11" s="738"/>
    </row>
    <row r="12" spans="1:20">
      <c r="A12" s="491" t="str">
        <f ca="1">MID(CELL("filename",A12),FIND("]",CELL("filename",A12))+1,256)</f>
        <v>UFB-12 Auth. &amp; Fire Dist.</v>
      </c>
      <c r="B12" s="491">
        <f>ROW()</f>
        <v>12</v>
      </c>
      <c r="C12" s="491" t="str">
        <f>'Cover Page'!K6</f>
        <v>1402</v>
      </c>
      <c r="D12" s="491">
        <f>'Cover Page'!K4</f>
        <v>2019</v>
      </c>
      <c r="E12" s="491" t="s">
        <v>2031</v>
      </c>
      <c r="F12" s="491" t="s">
        <v>2223</v>
      </c>
      <c r="G12" s="491" t="s">
        <v>2223</v>
      </c>
      <c r="H12" s="505">
        <f>'Cover Page'!M38</f>
        <v>0</v>
      </c>
      <c r="K12" s="681"/>
      <c r="L12" s="737"/>
      <c r="M12" s="737"/>
      <c r="N12" s="737"/>
      <c r="O12" s="737"/>
      <c r="P12" s="737"/>
      <c r="Q12" s="737"/>
      <c r="R12" s="737"/>
      <c r="S12" s="737"/>
      <c r="T12" s="738"/>
    </row>
    <row r="13" spans="1:20">
      <c r="A13" s="491" t="str">
        <f ca="1">MID(CELL("filename",A13),FIND("]",CELL("filename",A13))+1,256)</f>
        <v>UFB-12 Auth. &amp; Fire Dist.</v>
      </c>
      <c r="B13" s="491">
        <f>ROW()</f>
        <v>13</v>
      </c>
      <c r="C13" s="491" t="str">
        <f>'Cover Page'!K6</f>
        <v>1402</v>
      </c>
      <c r="D13" s="491">
        <f>'Cover Page'!K4</f>
        <v>2019</v>
      </c>
      <c r="E13" s="491" t="s">
        <v>2031</v>
      </c>
      <c r="F13" s="491" t="s">
        <v>2223</v>
      </c>
      <c r="G13" s="491" t="s">
        <v>2223</v>
      </c>
      <c r="H13" s="505">
        <f>'Cover Page'!M38</f>
        <v>0</v>
      </c>
      <c r="K13" s="681"/>
      <c r="L13" s="737"/>
      <c r="M13" s="737"/>
      <c r="N13" s="737"/>
      <c r="O13" s="737"/>
      <c r="P13" s="737"/>
      <c r="Q13" s="737"/>
      <c r="R13" s="737"/>
      <c r="S13" s="737"/>
      <c r="T13" s="738"/>
    </row>
    <row r="14" spans="1:20">
      <c r="A14" s="491" t="str">
        <f t="shared" ca="1" si="0"/>
        <v>UFB-12 Auth. &amp; Fire Dist.</v>
      </c>
      <c r="B14" s="491">
        <f>ROW()</f>
        <v>14</v>
      </c>
      <c r="C14" s="491" t="str">
        <f>'Cover Page'!K6</f>
        <v>1402</v>
      </c>
      <c r="D14" s="491">
        <f>'Cover Page'!K4</f>
        <v>2019</v>
      </c>
      <c r="E14" s="491" t="s">
        <v>2031</v>
      </c>
      <c r="F14" s="491" t="s">
        <v>2223</v>
      </c>
      <c r="G14" s="491" t="s">
        <v>2223</v>
      </c>
      <c r="H14" s="505">
        <f>'Cover Page'!M38</f>
        <v>0</v>
      </c>
      <c r="K14" s="681"/>
      <c r="L14" s="737"/>
      <c r="M14" s="737"/>
      <c r="N14" s="737"/>
      <c r="O14" s="737"/>
      <c r="P14" s="737"/>
      <c r="Q14" s="737"/>
      <c r="R14" s="737"/>
      <c r="S14" s="737"/>
      <c r="T14" s="738"/>
    </row>
    <row r="15" spans="1:20">
      <c r="A15" s="491" t="str">
        <f t="shared" ca="1" si="0"/>
        <v>UFB-12 Auth. &amp; Fire Dist.</v>
      </c>
      <c r="B15" s="491">
        <f>ROW()</f>
        <v>15</v>
      </c>
      <c r="C15" s="491" t="str">
        <f>'Cover Page'!K6</f>
        <v>1402</v>
      </c>
      <c r="D15" s="491">
        <f>'Cover Page'!K4</f>
        <v>2019</v>
      </c>
      <c r="E15" s="491" t="s">
        <v>2031</v>
      </c>
      <c r="F15" s="491" t="s">
        <v>2223</v>
      </c>
      <c r="G15" s="491" t="s">
        <v>2223</v>
      </c>
      <c r="H15" s="505">
        <f>'Cover Page'!M38</f>
        <v>0</v>
      </c>
      <c r="K15" s="681"/>
      <c r="L15" s="737"/>
      <c r="M15" s="737"/>
      <c r="N15" s="737"/>
      <c r="O15" s="737"/>
      <c r="P15" s="737"/>
      <c r="Q15" s="737"/>
      <c r="R15" s="737"/>
      <c r="S15" s="737"/>
      <c r="T15" s="738"/>
    </row>
    <row r="16" spans="1:20">
      <c r="A16" s="491" t="str">
        <f t="shared" ca="1" si="0"/>
        <v>UFB-12 Auth. &amp; Fire Dist.</v>
      </c>
      <c r="B16" s="491">
        <f>ROW()</f>
        <v>16</v>
      </c>
      <c r="C16" s="491" t="str">
        <f>'Cover Page'!K6</f>
        <v>1402</v>
      </c>
      <c r="D16" s="491">
        <f>'Cover Page'!K4</f>
        <v>2019</v>
      </c>
      <c r="E16" s="491" t="s">
        <v>2031</v>
      </c>
      <c r="F16" s="491" t="s">
        <v>2223</v>
      </c>
      <c r="G16" s="491" t="s">
        <v>2223</v>
      </c>
      <c r="H16" s="505">
        <f>'Cover Page'!M38</f>
        <v>0</v>
      </c>
      <c r="K16" s="681"/>
      <c r="L16" s="737"/>
      <c r="M16" s="737"/>
      <c r="N16" s="737"/>
      <c r="O16" s="737"/>
      <c r="P16" s="737"/>
      <c r="Q16" s="737"/>
      <c r="R16" s="737"/>
      <c r="S16" s="737"/>
      <c r="T16" s="738"/>
    </row>
    <row r="17" spans="1:20">
      <c r="A17" s="491" t="str">
        <f t="shared" ca="1" si="0"/>
        <v>UFB-12 Auth. &amp; Fire Dist.</v>
      </c>
      <c r="B17" s="491">
        <f>ROW()</f>
        <v>17</v>
      </c>
      <c r="C17" s="491" t="str">
        <f>'Cover Page'!K6</f>
        <v>1402</v>
      </c>
      <c r="D17" s="491">
        <f>'Cover Page'!K4</f>
        <v>2019</v>
      </c>
      <c r="E17" s="491" t="s">
        <v>2031</v>
      </c>
      <c r="F17" s="491" t="s">
        <v>2223</v>
      </c>
      <c r="G17" s="491" t="s">
        <v>2223</v>
      </c>
      <c r="H17" s="505">
        <f>'Cover Page'!M38</f>
        <v>0</v>
      </c>
      <c r="K17" s="681"/>
      <c r="L17" s="737"/>
      <c r="M17" s="737"/>
      <c r="N17" s="737"/>
      <c r="O17" s="737"/>
      <c r="P17" s="737"/>
      <c r="Q17" s="737"/>
      <c r="R17" s="737"/>
      <c r="S17" s="737"/>
      <c r="T17" s="738"/>
    </row>
    <row r="18" spans="1:20">
      <c r="A18" s="491" t="str">
        <f t="shared" ca="1" si="0"/>
        <v>UFB-12 Auth. &amp; Fire Dist.</v>
      </c>
      <c r="B18" s="491">
        <f>ROW()</f>
        <v>18</v>
      </c>
      <c r="C18" s="491" t="str">
        <f>'Cover Page'!K6</f>
        <v>1402</v>
      </c>
      <c r="D18" s="491">
        <f>'Cover Page'!K4</f>
        <v>2019</v>
      </c>
      <c r="E18" s="491" t="s">
        <v>2031</v>
      </c>
      <c r="F18" s="491" t="s">
        <v>2223</v>
      </c>
      <c r="G18" s="491" t="s">
        <v>2223</v>
      </c>
      <c r="H18" s="505">
        <f>'Cover Page'!M38</f>
        <v>0</v>
      </c>
      <c r="K18" s="681"/>
      <c r="L18" s="737"/>
      <c r="M18" s="737"/>
      <c r="N18" s="737"/>
      <c r="O18" s="737"/>
      <c r="P18" s="737"/>
      <c r="Q18" s="737"/>
      <c r="R18" s="737"/>
      <c r="S18" s="737"/>
      <c r="T18" s="738"/>
    </row>
    <row r="19" spans="1:20">
      <c r="A19" s="491" t="str">
        <f t="shared" ca="1" si="0"/>
        <v>UFB-12 Auth. &amp; Fire Dist.</v>
      </c>
      <c r="B19" s="491">
        <f>ROW()</f>
        <v>19</v>
      </c>
      <c r="C19" s="491" t="str">
        <f>'Cover Page'!K6</f>
        <v>1402</v>
      </c>
      <c r="D19" s="491">
        <f>'Cover Page'!K4</f>
        <v>2019</v>
      </c>
      <c r="E19" s="491" t="s">
        <v>2031</v>
      </c>
      <c r="F19" s="491" t="s">
        <v>2223</v>
      </c>
      <c r="G19" s="491" t="s">
        <v>2223</v>
      </c>
      <c r="H19" s="505">
        <f>'Cover Page'!M38</f>
        <v>0</v>
      </c>
      <c r="K19" s="681"/>
      <c r="L19" s="737"/>
      <c r="M19" s="737"/>
      <c r="N19" s="737"/>
      <c r="O19" s="737"/>
      <c r="P19" s="737"/>
      <c r="Q19" s="737"/>
      <c r="R19" s="737"/>
      <c r="S19" s="737"/>
      <c r="T19" s="738"/>
    </row>
    <row r="20" spans="1:20">
      <c r="A20" s="491" t="str">
        <f t="shared" ca="1" si="0"/>
        <v>UFB-12 Auth. &amp; Fire Dist.</v>
      </c>
      <c r="B20" s="491">
        <f>ROW()</f>
        <v>20</v>
      </c>
      <c r="C20" s="491" t="str">
        <f>'Cover Page'!K6</f>
        <v>1402</v>
      </c>
      <c r="D20" s="491">
        <f>'Cover Page'!K4</f>
        <v>2019</v>
      </c>
      <c r="E20" s="491" t="s">
        <v>2031</v>
      </c>
      <c r="F20" s="491" t="s">
        <v>2223</v>
      </c>
      <c r="G20" s="491" t="s">
        <v>2223</v>
      </c>
      <c r="H20" s="505">
        <f>'Cover Page'!M38</f>
        <v>0</v>
      </c>
      <c r="K20" s="681"/>
      <c r="L20" s="737"/>
      <c r="M20" s="737"/>
      <c r="N20" s="737"/>
      <c r="O20" s="737"/>
      <c r="P20" s="737"/>
      <c r="Q20" s="737"/>
      <c r="R20" s="737"/>
      <c r="S20" s="737"/>
      <c r="T20" s="738"/>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czo3wL0KMaBMmMHxXYHpa3ETVB9Tneza6yOXcL4l4VX8kk95LMsdB3lOZn6UY5FWLzMhP+TGuJX7cwfD6BI6Ng==" saltValue="POglLWt5ExYLLD44GAP+Gg==" spinCount="100000"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6" t="s">
        <v>2293</v>
      </c>
      <c r="K1" s="686"/>
      <c r="L1" s="686"/>
    </row>
    <row r="3" spans="1:12" s="1" customFormat="1" ht="12.75">
      <c r="A3" s="491" t="str">
        <f ca="1">MID(CELL("filename",A4),FIND("]",CELL("filename",A4))+1,256)</f>
        <v>Notes</v>
      </c>
      <c r="B3" s="491">
        <f>ROW()</f>
        <v>3</v>
      </c>
      <c r="C3" s="491" t="str">
        <f>'Cover Page'!K6</f>
        <v>1402</v>
      </c>
      <c r="D3" s="491">
        <f>'Cover Page'!K4</f>
        <v>2019</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1402</v>
      </c>
      <c r="D4" s="491">
        <f>'Cover Page'!K4</f>
        <v>2019</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1402</v>
      </c>
      <c r="D5" s="491">
        <f>'Cover Page'!K4</f>
        <v>2019</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1402</v>
      </c>
      <c r="D6" s="491">
        <f>'Cover Page'!K4</f>
        <v>2019</v>
      </c>
      <c r="E6" s="491" t="s">
        <v>2031</v>
      </c>
      <c r="F6" s="491" t="s">
        <v>2291</v>
      </c>
      <c r="G6" s="491" t="s">
        <v>121</v>
      </c>
      <c r="H6" s="505">
        <f>'Cover Page'!M38</f>
        <v>0</v>
      </c>
      <c r="J6" s="212"/>
    </row>
    <row r="7" spans="1:12" s="1" customFormat="1" ht="12.75">
      <c r="A7" s="491" t="str">
        <f t="shared" ca="1" si="0"/>
        <v>Notes</v>
      </c>
      <c r="B7" s="491">
        <f>ROW()</f>
        <v>7</v>
      </c>
      <c r="C7" s="491" t="str">
        <f>'Cover Page'!K6</f>
        <v>1402</v>
      </c>
      <c r="D7" s="491">
        <f>'Cover Page'!K4</f>
        <v>2019</v>
      </c>
      <c r="E7" s="491" t="s">
        <v>2031</v>
      </c>
      <c r="F7" s="491" t="s">
        <v>2291</v>
      </c>
      <c r="G7" s="491" t="s">
        <v>121</v>
      </c>
      <c r="H7" s="505">
        <f>'Cover Page'!M38</f>
        <v>0</v>
      </c>
      <c r="J7" s="26"/>
    </row>
    <row r="8" spans="1:12" s="1" customFormat="1" ht="12.75">
      <c r="A8" s="491" t="str">
        <f t="shared" ca="1" si="0"/>
        <v>Notes</v>
      </c>
      <c r="B8" s="491">
        <f>ROW()</f>
        <v>8</v>
      </c>
      <c r="C8" s="491" t="str">
        <f>'Cover Page'!K6</f>
        <v>1402</v>
      </c>
      <c r="D8" s="491">
        <f>'Cover Page'!K4</f>
        <v>2019</v>
      </c>
      <c r="E8" s="491" t="s">
        <v>2031</v>
      </c>
      <c r="F8" s="491" t="s">
        <v>2291</v>
      </c>
      <c r="G8" s="491" t="s">
        <v>121</v>
      </c>
      <c r="H8" s="505">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7"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44"/>
  <sheetViews>
    <sheetView topLeftCell="J1" workbookViewId="0">
      <selection activeCell="N21" sqref="N21"/>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1402</v>
      </c>
      <c r="D1" s="491">
        <f>'Cover Page'!K4</f>
        <v>2019</v>
      </c>
      <c r="E1" s="491" t="s">
        <v>2031</v>
      </c>
      <c r="F1" s="493" t="s">
        <v>2065</v>
      </c>
      <c r="G1" s="491"/>
      <c r="H1" s="505">
        <f>'Cover Page'!M38</f>
        <v>0</v>
      </c>
      <c r="I1" s="432"/>
      <c r="J1" s="686" t="s">
        <v>266</v>
      </c>
      <c r="K1" s="686"/>
      <c r="L1" s="686"/>
      <c r="M1" s="686"/>
      <c r="N1" s="686"/>
      <c r="O1" s="686"/>
      <c r="P1" s="686"/>
      <c r="Q1" s="686"/>
      <c r="R1" s="686"/>
      <c r="S1" s="686"/>
      <c r="T1" s="686"/>
    </row>
    <row r="2" spans="1:20" ht="15">
      <c r="A2" s="491" t="str">
        <f ca="1">MID(CELL("filename",A2),FIND("]",CELL("filename",A2))+1,256)</f>
        <v>UFB-1 Tax Impact</v>
      </c>
      <c r="B2" s="491">
        <f>ROW()</f>
        <v>2</v>
      </c>
      <c r="C2" s="491" t="str">
        <f>'Cover Page'!K6</f>
        <v>1402</v>
      </c>
      <c r="D2" s="491">
        <f>'Cover Page'!K4</f>
        <v>2019</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1402</v>
      </c>
      <c r="D3" s="491">
        <f>'Cover Page'!K4</f>
        <v>2019</v>
      </c>
      <c r="E3" s="491" t="s">
        <v>2031</v>
      </c>
      <c r="F3" s="493" t="s">
        <v>2065</v>
      </c>
      <c r="G3" s="491" t="s">
        <v>121</v>
      </c>
      <c r="H3" s="505">
        <f>'Cover Page'!M38</f>
        <v>0</v>
      </c>
      <c r="I3" s="432"/>
      <c r="J3" s="689" t="str">
        <f>'Cover Page'!K4-1&amp;" Calendar Year Property Tax Levies - ALL entities levying property taxes"</f>
        <v>2018 Calendar Year Property Tax Levies - ALL entities levying property taxes</v>
      </c>
      <c r="K3" s="690"/>
      <c r="L3" s="690"/>
      <c r="M3" s="690"/>
      <c r="N3" s="690"/>
      <c r="O3" s="302"/>
      <c r="P3" s="321"/>
      <c r="Q3" s="687" t="str">
        <f>"Current Year "&amp;'Cover Page'!K4&amp;" Budget"</f>
        <v>Current Year 2019 Budget</v>
      </c>
      <c r="R3" s="688"/>
      <c r="S3" s="306"/>
      <c r="T3" s="305"/>
    </row>
    <row r="4" spans="1:20" ht="15">
      <c r="A4" s="491" t="str">
        <f t="shared" ca="1" si="0"/>
        <v>UFB-1 Tax Impact</v>
      </c>
      <c r="B4" s="491">
        <f>ROW()</f>
        <v>4</v>
      </c>
      <c r="C4" s="491" t="str">
        <f>'Cover Page'!K6</f>
        <v>1402</v>
      </c>
      <c r="D4" s="491">
        <f>'Cover Page'!K4</f>
        <v>2019</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1402</v>
      </c>
      <c r="D5" s="491">
        <f>'Cover Page'!K4</f>
        <v>2019</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1402</v>
      </c>
      <c r="D6" s="491">
        <f>'Cover Page'!K4</f>
        <v>2019</v>
      </c>
      <c r="E6" s="491" t="s">
        <v>2031</v>
      </c>
      <c r="F6" s="493" t="s">
        <v>2065</v>
      </c>
      <c r="G6" s="491" t="s">
        <v>2066</v>
      </c>
      <c r="H6" s="505">
        <f>'Cover Page'!M38</f>
        <v>0</v>
      </c>
      <c r="I6" s="491" t="s">
        <v>2066</v>
      </c>
      <c r="J6" s="13"/>
      <c r="K6" s="22" t="s">
        <v>9</v>
      </c>
      <c r="L6" s="308">
        <v>0.43099999999999999</v>
      </c>
      <c r="M6" s="253">
        <v>3769833.77</v>
      </c>
      <c r="N6" s="23">
        <f>M6/M19</f>
        <v>0.19138115320882904</v>
      </c>
      <c r="O6" s="666">
        <v>2277.15</v>
      </c>
      <c r="P6" s="322"/>
      <c r="Q6" s="22" t="s">
        <v>9</v>
      </c>
      <c r="R6" s="600" t="s">
        <v>10</v>
      </c>
      <c r="S6" s="613">
        <v>3963049.91</v>
      </c>
      <c r="T6" s="325"/>
    </row>
    <row r="7" spans="1:20" s="20" customFormat="1">
      <c r="A7" s="491" t="str">
        <f t="shared" ca="1" si="0"/>
        <v>UFB-1 Tax Impact</v>
      </c>
      <c r="B7" s="491">
        <f>ROW()</f>
        <v>7</v>
      </c>
      <c r="C7" s="491" t="str">
        <f>'Cover Page'!K6</f>
        <v>1402</v>
      </c>
      <c r="D7" s="491">
        <f>'Cover Page'!K4</f>
        <v>2019</v>
      </c>
      <c r="E7" s="491" t="s">
        <v>2031</v>
      </c>
      <c r="F7" s="493" t="s">
        <v>2065</v>
      </c>
      <c r="G7" s="491" t="s">
        <v>2067</v>
      </c>
      <c r="H7" s="505">
        <f>'Cover Page'!M38</f>
        <v>0</v>
      </c>
      <c r="I7" s="491" t="s">
        <v>2067</v>
      </c>
      <c r="J7" s="13"/>
      <c r="K7" s="516" t="s">
        <v>11</v>
      </c>
      <c r="L7" s="529"/>
      <c r="M7" s="530"/>
      <c r="N7" s="23">
        <f>M7/M19</f>
        <v>0</v>
      </c>
      <c r="O7" s="667">
        <v>0</v>
      </c>
      <c r="P7" s="322"/>
      <c r="Q7" s="20" t="s">
        <v>11</v>
      </c>
      <c r="R7" s="600"/>
      <c r="S7" s="614"/>
      <c r="T7" s="326"/>
    </row>
    <row r="8" spans="1:20" s="20" customFormat="1">
      <c r="A8" s="491" t="str">
        <f t="shared" ca="1" si="0"/>
        <v>UFB-1 Tax Impact</v>
      </c>
      <c r="B8" s="491">
        <f>ROW()</f>
        <v>8</v>
      </c>
      <c r="C8" s="491" t="str">
        <f>'Cover Page'!K6</f>
        <v>1402</v>
      </c>
      <c r="D8" s="491">
        <f>'Cover Page'!K4</f>
        <v>2019</v>
      </c>
      <c r="E8" s="491" t="s">
        <v>2031</v>
      </c>
      <c r="F8" s="493" t="s">
        <v>2065</v>
      </c>
      <c r="G8" s="491" t="s">
        <v>2068</v>
      </c>
      <c r="H8" s="505">
        <f>'Cover Page'!M38</f>
        <v>0</v>
      </c>
      <c r="I8" s="491" t="s">
        <v>2068</v>
      </c>
      <c r="J8" s="13"/>
      <c r="K8" s="516" t="s">
        <v>12</v>
      </c>
      <c r="L8" s="529">
        <v>0.03</v>
      </c>
      <c r="M8" s="530">
        <v>262235.19</v>
      </c>
      <c r="N8" s="23">
        <f>M8/M19</f>
        <v>1.3312754921322801E-2</v>
      </c>
      <c r="O8" s="667">
        <v>158.5</v>
      </c>
      <c r="P8" s="322"/>
      <c r="Q8" s="25" t="s">
        <v>12</v>
      </c>
      <c r="R8" s="600" t="s">
        <v>10</v>
      </c>
      <c r="S8" s="615">
        <v>262583.09999999998</v>
      </c>
      <c r="T8" s="326"/>
    </row>
    <row r="9" spans="1:20" s="20" customFormat="1">
      <c r="A9" s="491" t="str">
        <f t="shared" ca="1" si="0"/>
        <v>UFB-1 Tax Impact</v>
      </c>
      <c r="B9" s="491">
        <f>ROW()</f>
        <v>9</v>
      </c>
      <c r="C9" s="491" t="str">
        <f>'Cover Page'!K6</f>
        <v>1402</v>
      </c>
      <c r="D9" s="491">
        <f>'Cover Page'!K4</f>
        <v>2019</v>
      </c>
      <c r="E9" s="491" t="s">
        <v>2031</v>
      </c>
      <c r="F9" s="493" t="s">
        <v>2065</v>
      </c>
      <c r="G9" s="491" t="s">
        <v>2069</v>
      </c>
      <c r="H9" s="505">
        <f>'Cover Page'!M38</f>
        <v>0</v>
      </c>
      <c r="I9" s="491" t="s">
        <v>2069</v>
      </c>
      <c r="J9" s="26"/>
      <c r="K9" s="516" t="s">
        <v>288</v>
      </c>
      <c r="L9" s="529"/>
      <c r="M9" s="530"/>
      <c r="N9" s="23">
        <f>M9/M19</f>
        <v>0</v>
      </c>
      <c r="O9" s="667">
        <v>0</v>
      </c>
      <c r="P9" s="322"/>
      <c r="Q9" s="25" t="s">
        <v>13</v>
      </c>
      <c r="R9" s="600"/>
      <c r="S9" s="615"/>
      <c r="T9" s="325"/>
    </row>
    <row r="10" spans="1:20" s="20" customFormat="1">
      <c r="A10" s="491" t="str">
        <f ca="1">MID(CELL("filename",A10),FIND("]",CELL("filename",A10))+1,256)</f>
        <v>UFB-1 Tax Impact</v>
      </c>
      <c r="B10" s="491">
        <f>ROW()</f>
        <v>10</v>
      </c>
      <c r="C10" s="491" t="str">
        <f>'Cover Page'!K6</f>
        <v>1402</v>
      </c>
      <c r="D10" s="491">
        <f>'Cover Page'!K4</f>
        <v>2019</v>
      </c>
      <c r="E10" s="491" t="s">
        <v>2031</v>
      </c>
      <c r="F10" s="493" t="s">
        <v>2065</v>
      </c>
      <c r="G10" s="491" t="s">
        <v>2070</v>
      </c>
      <c r="H10" s="505">
        <f>'Cover Page'!M38</f>
        <v>0</v>
      </c>
      <c r="I10" s="491" t="s">
        <v>2070</v>
      </c>
      <c r="J10" s="26"/>
      <c r="K10" s="486" t="s">
        <v>15</v>
      </c>
      <c r="L10" s="531"/>
      <c r="M10" s="532"/>
      <c r="N10" s="23">
        <f>M10/M19</f>
        <v>0</v>
      </c>
      <c r="O10" s="667">
        <v>0</v>
      </c>
      <c r="P10" s="322"/>
      <c r="Q10" s="25" t="s">
        <v>15</v>
      </c>
      <c r="R10" s="600"/>
      <c r="S10" s="615"/>
      <c r="T10" s="325"/>
    </row>
    <row r="11" spans="1:20" s="20" customFormat="1">
      <c r="A11" s="491" t="str">
        <f ca="1">MID(CELL("filename",A11),FIND("]",CELL("filename",A11))+1,256)</f>
        <v>UFB-1 Tax Impact</v>
      </c>
      <c r="B11" s="491">
        <f>ROW()</f>
        <v>11</v>
      </c>
      <c r="C11" s="491" t="str">
        <f>'Cover Page'!K6</f>
        <v>1402</v>
      </c>
      <c r="D11" s="491">
        <f>'Cover Page'!K4</f>
        <v>2019</v>
      </c>
      <c r="E11" s="491" t="s">
        <v>2031</v>
      </c>
      <c r="F11" s="493" t="s">
        <v>2065</v>
      </c>
      <c r="G11" s="491" t="s">
        <v>2071</v>
      </c>
      <c r="H11" s="505">
        <f>'Cover Page'!M38</f>
        <v>0</v>
      </c>
      <c r="I11" s="491" t="s">
        <v>2071</v>
      </c>
      <c r="J11" s="26"/>
      <c r="K11" s="486" t="s">
        <v>16</v>
      </c>
      <c r="L11" s="531">
        <v>1.516</v>
      </c>
      <c r="M11" s="532">
        <v>13253206</v>
      </c>
      <c r="N11" s="23">
        <f>M11/M19</f>
        <v>0.67281848557321722</v>
      </c>
      <c r="O11" s="667">
        <v>8009.63</v>
      </c>
      <c r="P11" s="322"/>
      <c r="Q11" s="25" t="s">
        <v>16</v>
      </c>
      <c r="R11" s="600" t="s">
        <v>14</v>
      </c>
      <c r="S11" s="615">
        <v>13518270.119999999</v>
      </c>
      <c r="T11" s="325"/>
    </row>
    <row r="12" spans="1:20" s="20" customFormat="1">
      <c r="A12" s="491" t="str">
        <f ca="1">MID(CELL("filename",A12),FIND("]",CELL("filename",A12))+1,256)</f>
        <v>UFB-1 Tax Impact</v>
      </c>
      <c r="B12" s="491">
        <f>ROW()</f>
        <v>12</v>
      </c>
      <c r="C12" s="491" t="str">
        <f>'Cover Page'!K6</f>
        <v>1402</v>
      </c>
      <c r="D12" s="491">
        <f>'Cover Page'!K4</f>
        <v>2019</v>
      </c>
      <c r="E12" s="491" t="s">
        <v>2031</v>
      </c>
      <c r="F12" s="493" t="s">
        <v>2065</v>
      </c>
      <c r="G12" s="491" t="s">
        <v>2072</v>
      </c>
      <c r="H12" s="505">
        <f>'Cover Page'!M38</f>
        <v>0</v>
      </c>
      <c r="I12" s="491" t="s">
        <v>2072</v>
      </c>
      <c r="J12" s="26"/>
      <c r="K12" s="516" t="s">
        <v>17</v>
      </c>
      <c r="L12" s="529"/>
      <c r="M12" s="530"/>
      <c r="N12" s="23">
        <f>M12/M19</f>
        <v>0</v>
      </c>
      <c r="O12" s="667">
        <v>0</v>
      </c>
      <c r="P12" s="322"/>
      <c r="Q12" s="25" t="s">
        <v>17</v>
      </c>
      <c r="R12" s="600"/>
      <c r="S12" s="615"/>
      <c r="T12" s="325"/>
    </row>
    <row r="13" spans="1:20" s="20" customFormat="1">
      <c r="A13" s="491" t="str">
        <f ca="1">MID(CELL("filename",A13),FIND("]",CELL("filename",A13))+1,256)</f>
        <v>UFB-1 Tax Impact</v>
      </c>
      <c r="B13" s="491">
        <f>ROW()</f>
        <v>13</v>
      </c>
      <c r="C13" s="491" t="str">
        <f>'Cover Page'!K6</f>
        <v>1402</v>
      </c>
      <c r="D13" s="491">
        <f>'Cover Page'!K4</f>
        <v>2019</v>
      </c>
      <c r="E13" s="491" t="s">
        <v>2031</v>
      </c>
      <c r="F13" s="493" t="s">
        <v>2065</v>
      </c>
      <c r="G13" s="491" t="s">
        <v>2073</v>
      </c>
      <c r="H13" s="505">
        <f>'Cover Page'!M38</f>
        <v>0</v>
      </c>
      <c r="I13" s="491" t="s">
        <v>2073</v>
      </c>
      <c r="J13" s="26"/>
      <c r="K13" s="516" t="s">
        <v>18</v>
      </c>
      <c r="L13" s="529">
        <v>0.26700000000000002</v>
      </c>
      <c r="M13" s="530">
        <v>2331273.19</v>
      </c>
      <c r="N13" s="23">
        <f>M13/M19</f>
        <v>0.11835051059745416</v>
      </c>
      <c r="O13" s="667">
        <v>1410.67</v>
      </c>
      <c r="P13" s="322"/>
      <c r="Q13" s="25" t="s">
        <v>18</v>
      </c>
      <c r="R13" s="600" t="s">
        <v>14</v>
      </c>
      <c r="S13" s="615">
        <f>2462907.72-83122.53</f>
        <v>2379785.1900000004</v>
      </c>
    </row>
    <row r="14" spans="1:20" s="20" customFormat="1">
      <c r="A14" s="491" t="str">
        <f t="shared" ca="1" si="0"/>
        <v>UFB-1 Tax Impact</v>
      </c>
      <c r="B14" s="491">
        <f>ROW()</f>
        <v>14</v>
      </c>
      <c r="C14" s="491" t="str">
        <f>'Cover Page'!K6</f>
        <v>1402</v>
      </c>
      <c r="D14" s="491">
        <f>'Cover Page'!K4</f>
        <v>2019</v>
      </c>
      <c r="E14" s="491" t="s">
        <v>2031</v>
      </c>
      <c r="F14" s="493" t="s">
        <v>2065</v>
      </c>
      <c r="G14" s="491" t="s">
        <v>2074</v>
      </c>
      <c r="H14" s="505">
        <f>'Cover Page'!M38</f>
        <v>0</v>
      </c>
      <c r="I14" s="491" t="s">
        <v>2074</v>
      </c>
      <c r="J14" s="26"/>
      <c r="K14" s="516" t="s">
        <v>19</v>
      </c>
      <c r="L14" s="529"/>
      <c r="M14" s="530"/>
      <c r="N14" s="23">
        <f>M14/M19</f>
        <v>0</v>
      </c>
      <c r="O14" s="667">
        <v>0</v>
      </c>
      <c r="P14" s="322"/>
      <c r="Q14" s="25" t="s">
        <v>19</v>
      </c>
      <c r="R14" s="600"/>
      <c r="S14" s="615"/>
    </row>
    <row r="15" spans="1:20" s="20" customFormat="1">
      <c r="A15" s="491" t="str">
        <f t="shared" ca="1" si="0"/>
        <v>UFB-1 Tax Impact</v>
      </c>
      <c r="B15" s="491">
        <f>ROW()</f>
        <v>15</v>
      </c>
      <c r="C15" s="491" t="str">
        <f>'Cover Page'!K6</f>
        <v>1402</v>
      </c>
      <c r="D15" s="491">
        <f>'Cover Page'!K4</f>
        <v>2019</v>
      </c>
      <c r="E15" s="491" t="s">
        <v>2031</v>
      </c>
      <c r="F15" s="493" t="s">
        <v>2065</v>
      </c>
      <c r="G15" s="491" t="s">
        <v>2075</v>
      </c>
      <c r="H15" s="505">
        <f>'Cover Page'!M38</f>
        <v>0</v>
      </c>
      <c r="I15" s="491" t="s">
        <v>2075</v>
      </c>
      <c r="J15" s="26"/>
      <c r="K15" s="516" t="s">
        <v>20</v>
      </c>
      <c r="L15" s="529"/>
      <c r="M15" s="530"/>
      <c r="N15" s="23">
        <f>M15/M19</f>
        <v>0</v>
      </c>
      <c r="O15" s="667">
        <v>0</v>
      </c>
      <c r="P15" s="322"/>
      <c r="Q15" s="25" t="s">
        <v>20</v>
      </c>
      <c r="R15" s="600"/>
      <c r="S15" s="615"/>
    </row>
    <row r="16" spans="1:20" s="20" customFormat="1">
      <c r="A16" s="491" t="str">
        <f t="shared" ca="1" si="0"/>
        <v>UFB-1 Tax Impact</v>
      </c>
      <c r="B16" s="491">
        <f>ROW()</f>
        <v>16</v>
      </c>
      <c r="C16" s="491" t="str">
        <f>'Cover Page'!K6</f>
        <v>1402</v>
      </c>
      <c r="D16" s="491">
        <f>'Cover Page'!K4</f>
        <v>2019</v>
      </c>
      <c r="E16" s="491" t="s">
        <v>2031</v>
      </c>
      <c r="F16" s="493" t="s">
        <v>2065</v>
      </c>
      <c r="G16" s="491" t="s">
        <v>2076</v>
      </c>
      <c r="H16" s="505">
        <f>'Cover Page'!M38</f>
        <v>0</v>
      </c>
      <c r="I16" s="491" t="s">
        <v>2076</v>
      </c>
      <c r="J16" s="13"/>
      <c r="K16" s="516" t="s">
        <v>21</v>
      </c>
      <c r="L16" s="529">
        <v>0.01</v>
      </c>
      <c r="M16" s="530">
        <v>81492.679999999993</v>
      </c>
      <c r="N16" s="23">
        <f>M16/M19</f>
        <v>4.1370956991766978E-3</v>
      </c>
      <c r="O16" s="667">
        <v>52.83</v>
      </c>
      <c r="P16" s="322"/>
      <c r="Q16" s="25" t="s">
        <v>21</v>
      </c>
      <c r="R16" s="600" t="s">
        <v>14</v>
      </c>
      <c r="S16" s="615">
        <v>83122.53</v>
      </c>
    </row>
    <row r="17" spans="1:23" s="20" customFormat="1">
      <c r="A17" s="491" t="str">
        <f t="shared" ca="1" si="0"/>
        <v>UFB-1 Tax Impact</v>
      </c>
      <c r="B17" s="491">
        <f>ROW()</f>
        <v>17</v>
      </c>
      <c r="C17" s="491" t="str">
        <f>'Cover Page'!K6</f>
        <v>1402</v>
      </c>
      <c r="D17" s="491">
        <f>'Cover Page'!K4</f>
        <v>2019</v>
      </c>
      <c r="E17" s="491" t="s">
        <v>2031</v>
      </c>
      <c r="F17" s="493" t="s">
        <v>2065</v>
      </c>
      <c r="G17" s="491" t="s">
        <v>2077</v>
      </c>
      <c r="H17" s="505">
        <f>'Cover Page'!M38</f>
        <v>0</v>
      </c>
      <c r="I17" s="491" t="s">
        <v>2077</v>
      </c>
      <c r="J17" s="27"/>
      <c r="K17" s="516" t="s">
        <v>22</v>
      </c>
      <c r="L17" s="529"/>
      <c r="M17" s="530"/>
      <c r="N17" s="23">
        <f>M17/M19</f>
        <v>0</v>
      </c>
      <c r="O17" s="667">
        <v>0</v>
      </c>
      <c r="P17" s="322"/>
      <c r="Q17" s="25" t="s">
        <v>22</v>
      </c>
      <c r="R17" s="600"/>
      <c r="S17" s="615"/>
      <c r="T17" s="28"/>
    </row>
    <row r="18" spans="1:23" s="20" customFormat="1">
      <c r="A18" s="491" t="str">
        <f t="shared" ca="1" si="0"/>
        <v>UFB-1 Tax Impact</v>
      </c>
      <c r="B18" s="491">
        <f>ROW()</f>
        <v>18</v>
      </c>
      <c r="C18" s="491" t="str">
        <f>'Cover Page'!K6</f>
        <v>1402</v>
      </c>
      <c r="D18" s="491">
        <f>'Cover Page'!K4</f>
        <v>2019</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1402</v>
      </c>
      <c r="D19" s="491">
        <f>'Cover Page'!K4</f>
        <v>2019</v>
      </c>
      <c r="E19" s="491" t="s">
        <v>2031</v>
      </c>
      <c r="F19" s="493" t="s">
        <v>2065</v>
      </c>
      <c r="G19" s="491" t="s">
        <v>2078</v>
      </c>
      <c r="H19" s="505">
        <f>'Cover Page'!M38</f>
        <v>0</v>
      </c>
      <c r="I19" s="491" t="s">
        <v>2078</v>
      </c>
      <c r="J19" s="27"/>
      <c r="K19" s="29" t="str">
        <f>"Total (Calendar Year "&amp;'Cover Page'!K4-1&amp;" Budget)"</f>
        <v>Total (Calendar Year 2018 Budget)</v>
      </c>
      <c r="L19" s="473">
        <f>SUM(L6:L17)</f>
        <v>2.2539999999999996</v>
      </c>
      <c r="M19" s="251">
        <f>SUM(M6:M17)</f>
        <v>19698040.830000002</v>
      </c>
      <c r="N19" s="30">
        <f>SUM(N6:N17)</f>
        <v>1</v>
      </c>
      <c r="O19" s="332">
        <f>SUM(O6:O17)</f>
        <v>11908.78</v>
      </c>
      <c r="P19" s="322"/>
      <c r="Q19" s="29" t="s">
        <v>23</v>
      </c>
      <c r="R19" s="29"/>
      <c r="S19" s="332">
        <f>SUM(S6:S17)</f>
        <v>20206810.850000001</v>
      </c>
      <c r="T19" s="28"/>
    </row>
    <row r="20" spans="1:23" s="20" customFormat="1" ht="15.75" thickTop="1">
      <c r="A20" s="491" t="str">
        <f t="shared" ca="1" si="0"/>
        <v>UFB-1 Tax Impact</v>
      </c>
      <c r="B20" s="491">
        <f>ROW()</f>
        <v>20</v>
      </c>
      <c r="C20" s="491" t="str">
        <f>'Cover Page'!K6</f>
        <v>1402</v>
      </c>
      <c r="D20" s="491">
        <f>'Cover Page'!K4</f>
        <v>2019</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1402</v>
      </c>
      <c r="D21" s="491">
        <f>'Cover Page'!K4</f>
        <v>2019</v>
      </c>
      <c r="E21" s="491" t="s">
        <v>2031</v>
      </c>
      <c r="F21" s="493" t="s">
        <v>2065</v>
      </c>
      <c r="G21" s="491" t="s">
        <v>2079</v>
      </c>
      <c r="H21" s="505">
        <f>'Cover Page'!M38</f>
        <v>0</v>
      </c>
      <c r="I21" s="547" t="s">
        <v>2225</v>
      </c>
      <c r="J21" s="26"/>
      <c r="K21" s="431" t="s">
        <v>292</v>
      </c>
      <c r="L21" s="561" t="str">
        <f>"October 1, "&amp;'Cover Page'!K4-1&amp;" "</f>
        <v xml:space="preserve">October 1, 2018 </v>
      </c>
      <c r="M21" s="252">
        <v>875277000</v>
      </c>
      <c r="N21" s="11"/>
      <c r="O21" s="519"/>
      <c r="P21" s="322"/>
      <c r="Q21" s="20" t="s">
        <v>24</v>
      </c>
      <c r="S21" s="407">
        <v>2136743.61</v>
      </c>
    </row>
    <row r="22" spans="1:23" s="20" customFormat="1" ht="13.5" thickTop="1">
      <c r="A22" s="491" t="str">
        <f t="shared" ca="1" si="0"/>
        <v>UFB-1 Tax Impact</v>
      </c>
      <c r="B22" s="491">
        <f>ROW()</f>
        <v>22</v>
      </c>
      <c r="C22" s="491" t="str">
        <f>'Cover Page'!K6</f>
        <v>1402</v>
      </c>
      <c r="D22" s="491">
        <f>'Cover Page'!K4</f>
        <v>2019</v>
      </c>
      <c r="E22" s="491" t="s">
        <v>2031</v>
      </c>
      <c r="F22" s="493" t="s">
        <v>2065</v>
      </c>
      <c r="H22" s="505">
        <f>'Cover Page'!M38</f>
        <v>0</v>
      </c>
      <c r="I22" s="491" t="s">
        <v>2094</v>
      </c>
      <c r="J22" s="26"/>
      <c r="K22" s="611" t="s">
        <v>2281</v>
      </c>
      <c r="N22" s="11"/>
      <c r="O22" s="519"/>
      <c r="P22" s="322"/>
      <c r="Q22" s="20" t="s">
        <v>25</v>
      </c>
      <c r="S22" s="408">
        <v>5493589.1900000004</v>
      </c>
    </row>
    <row r="23" spans="1:23" s="20" customFormat="1" ht="13.5" thickBot="1">
      <c r="A23" s="491" t="str">
        <f t="shared" ca="1" si="0"/>
        <v>UFB-1 Tax Impact</v>
      </c>
      <c r="B23" s="491">
        <f>ROW()</f>
        <v>23</v>
      </c>
      <c r="C23" s="491" t="str">
        <f>'Cover Page'!K6</f>
        <v>1402</v>
      </c>
      <c r="D23" s="491">
        <f>'Cover Page'!K4</f>
        <v>2019</v>
      </c>
      <c r="E23" s="491" t="s">
        <v>2031</v>
      </c>
      <c r="F23" s="493" t="s">
        <v>2065</v>
      </c>
      <c r="G23" s="491" t="s">
        <v>2080</v>
      </c>
      <c r="H23" s="505">
        <f>'Cover Page'!M38</f>
        <v>0</v>
      </c>
      <c r="I23" s="547" t="s">
        <v>2224</v>
      </c>
      <c r="J23" s="13"/>
      <c r="K23" s="20" t="s">
        <v>2277</v>
      </c>
      <c r="M23" s="252">
        <v>528709</v>
      </c>
      <c r="O23" s="12"/>
      <c r="P23" s="323"/>
      <c r="Q23" s="32" t="s">
        <v>26</v>
      </c>
      <c r="R23" s="32"/>
      <c r="S23" s="333">
        <f>SUM(S8:S17)</f>
        <v>16243760.939999999</v>
      </c>
      <c r="T23" s="325"/>
    </row>
    <row r="24" spans="1:23" s="20" customFormat="1" ht="13.5" thickTop="1">
      <c r="A24" s="491" t="str">
        <f t="shared" ca="1" si="0"/>
        <v>UFB-1 Tax Impact</v>
      </c>
      <c r="B24" s="491">
        <f>ROW()</f>
        <v>24</v>
      </c>
      <c r="C24" s="491" t="str">
        <f>'Cover Page'!K6</f>
        <v>1402</v>
      </c>
      <c r="D24" s="491">
        <f>'Cover Page'!K4</f>
        <v>2019</v>
      </c>
      <c r="E24" s="491" t="s">
        <v>2031</v>
      </c>
      <c r="F24" s="493" t="s">
        <v>2065</v>
      </c>
      <c r="G24" s="491"/>
      <c r="H24" s="505">
        <f>'Cover Page'!M38</f>
        <v>0</v>
      </c>
      <c r="I24" s="491" t="s">
        <v>2095</v>
      </c>
      <c r="J24" s="13"/>
      <c r="N24" s="33"/>
      <c r="O24" s="533"/>
      <c r="P24" s="323"/>
      <c r="Q24" s="34" t="s">
        <v>27</v>
      </c>
      <c r="R24" s="34"/>
      <c r="S24" s="334">
        <f>+S23+S22-S21</f>
        <v>19600606.52</v>
      </c>
    </row>
    <row r="25" spans="1:23" s="20" customFormat="1">
      <c r="A25" s="491" t="str">
        <f t="shared" ca="1" si="0"/>
        <v>UFB-1 Tax Impact</v>
      </c>
      <c r="B25" s="491">
        <f>ROW()</f>
        <v>25</v>
      </c>
      <c r="C25" s="491" t="str">
        <f>'Cover Page'!K6</f>
        <v>1402</v>
      </c>
      <c r="D25" s="491">
        <f>'Cover Page'!K4</f>
        <v>2019</v>
      </c>
      <c r="E25" s="491" t="s">
        <v>2031</v>
      </c>
      <c r="F25" s="493" t="s">
        <v>2065</v>
      </c>
      <c r="G25" s="491"/>
      <c r="H25" s="505">
        <f>'Cover Page'!M38</f>
        <v>0</v>
      </c>
      <c r="I25" s="491" t="s">
        <v>2096</v>
      </c>
      <c r="J25" s="26"/>
      <c r="L25" s="20" t="s">
        <v>265</v>
      </c>
      <c r="O25" s="12"/>
      <c r="P25" s="323"/>
      <c r="Q25" s="32" t="s">
        <v>28</v>
      </c>
      <c r="R25" s="32"/>
      <c r="S25" s="333">
        <f>(+S24/S28)-S24</f>
        <v>606204.32536082342</v>
      </c>
    </row>
    <row r="26" spans="1:23" s="20" customFormat="1" ht="13.5" thickBot="1">
      <c r="A26" s="491" t="str">
        <f t="shared" ca="1" si="0"/>
        <v>UFB-1 Tax Impact</v>
      </c>
      <c r="B26" s="491">
        <f>ROW()</f>
        <v>26</v>
      </c>
      <c r="C26" s="491" t="str">
        <f>'Cover Page'!K6</f>
        <v>1402</v>
      </c>
      <c r="D26" s="491">
        <f>'Cover Page'!K4</f>
        <v>2019</v>
      </c>
      <c r="E26" s="491" t="s">
        <v>2031</v>
      </c>
      <c r="F26" s="493" t="s">
        <v>2065</v>
      </c>
      <c r="G26" s="491"/>
      <c r="H26" s="505">
        <f>'Cover Page'!M38</f>
        <v>0</v>
      </c>
      <c r="I26" s="491" t="s">
        <v>2097</v>
      </c>
      <c r="J26" s="26"/>
      <c r="O26" s="12"/>
      <c r="P26" s="323"/>
      <c r="Q26" s="35" t="s">
        <v>32</v>
      </c>
      <c r="R26" s="35"/>
      <c r="S26" s="335">
        <f>+S25+S24</f>
        <v>20206810.845360823</v>
      </c>
    </row>
    <row r="27" spans="1:23" s="20" customFormat="1" ht="15.75" customHeight="1" thickTop="1">
      <c r="A27" s="491" t="str">
        <f t="shared" ca="1" si="0"/>
        <v>UFB-1 Tax Impact</v>
      </c>
      <c r="B27" s="491">
        <f>ROW()</f>
        <v>27</v>
      </c>
      <c r="C27" s="491" t="str">
        <f>'Cover Page'!K6</f>
        <v>1402</v>
      </c>
      <c r="D27" s="491">
        <f>'Cover Page'!K4</f>
        <v>2019</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1402</v>
      </c>
      <c r="D28" s="491">
        <f>'Cover Page'!K4</f>
        <v>2019</v>
      </c>
      <c r="E28" s="491" t="s">
        <v>2031</v>
      </c>
      <c r="F28" s="493" t="s">
        <v>2065</v>
      </c>
      <c r="H28" s="505">
        <f>'Cover Page'!M38</f>
        <v>0</v>
      </c>
      <c r="I28" s="491" t="s">
        <v>2098</v>
      </c>
      <c r="J28" s="26"/>
      <c r="L28" s="534" t="s">
        <v>29</v>
      </c>
      <c r="M28" s="534" t="s">
        <v>30</v>
      </c>
      <c r="N28" s="534" t="s">
        <v>31</v>
      </c>
      <c r="O28" s="302"/>
      <c r="P28" s="323"/>
      <c r="Q28" s="20" t="s">
        <v>33</v>
      </c>
      <c r="S28" s="336">
        <v>0.97</v>
      </c>
    </row>
    <row r="29" spans="1:23" s="20" customFormat="1" ht="13.15" customHeight="1" thickTop="1">
      <c r="A29" s="491" t="str">
        <f t="shared" ca="1" si="0"/>
        <v>UFB-1 Tax Impact</v>
      </c>
      <c r="B29" s="491">
        <f>ROW()</f>
        <v>29</v>
      </c>
      <c r="C29" s="491" t="str">
        <f>'Cover Page'!K6</f>
        <v>1402</v>
      </c>
      <c r="D29" s="491">
        <f>'Cover Page'!K4</f>
        <v>2019</v>
      </c>
      <c r="E29" s="491" t="s">
        <v>2031</v>
      </c>
      <c r="F29" s="493" t="s">
        <v>2065</v>
      </c>
      <c r="G29" s="491" t="s">
        <v>2081</v>
      </c>
      <c r="H29" s="505">
        <f>'Cover Page'!M38</f>
        <v>0</v>
      </c>
      <c r="I29" s="444"/>
      <c r="J29" s="26"/>
      <c r="L29" s="535">
        <f>L6</f>
        <v>0.43099999999999999</v>
      </c>
      <c r="M29" s="536">
        <v>0.45300000000000001</v>
      </c>
      <c r="N29" s="537">
        <f>(M29-L29)/L29</f>
        <v>5.1044083526682181E-2</v>
      </c>
      <c r="O29" s="12"/>
      <c r="P29" s="323"/>
      <c r="S29" s="12"/>
    </row>
    <row r="30" spans="1:23" s="20" customFormat="1">
      <c r="A30" s="491" t="str">
        <f t="shared" ca="1" si="0"/>
        <v>UFB-1 Tax Impact</v>
      </c>
      <c r="B30" s="491">
        <f>ROW()</f>
        <v>30</v>
      </c>
      <c r="C30" s="491" t="str">
        <f>'Cover Page'!K6</f>
        <v>1402</v>
      </c>
      <c r="D30" s="491">
        <f>'Cover Page'!K4</f>
        <v>2019</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1402</v>
      </c>
      <c r="D31" s="491">
        <f>'Cover Page'!K4</f>
        <v>2019</v>
      </c>
      <c r="E31" s="491" t="s">
        <v>2031</v>
      </c>
      <c r="F31" s="493" t="s">
        <v>2065</v>
      </c>
      <c r="H31" s="505">
        <f>'Cover Page'!M38</f>
        <v>0</v>
      </c>
      <c r="I31" s="491" t="s">
        <v>2088</v>
      </c>
      <c r="J31" s="319" t="s">
        <v>263</v>
      </c>
      <c r="K31" s="301"/>
      <c r="L31" s="301"/>
      <c r="M31" s="301" t="s">
        <v>264</v>
      </c>
      <c r="N31" s="301"/>
      <c r="O31" s="302"/>
      <c r="P31" s="323"/>
      <c r="Q31" s="20" t="s">
        <v>35</v>
      </c>
      <c r="R31" s="684"/>
      <c r="S31" s="685"/>
      <c r="V31" s="218" t="s">
        <v>276</v>
      </c>
      <c r="W31" s="20" t="s">
        <v>10</v>
      </c>
    </row>
    <row r="32" spans="1:23" s="20" customFormat="1" ht="15.75" thickTop="1">
      <c r="A32" s="491" t="str">
        <f t="shared" ca="1" si="0"/>
        <v>UFB-1 Tax Impact</v>
      </c>
      <c r="B32" s="491">
        <f>ROW()</f>
        <v>32</v>
      </c>
      <c r="C32" s="491" t="str">
        <f>'Cover Page'!K6</f>
        <v>1402</v>
      </c>
      <c r="D32" s="491">
        <f>'Cover Page'!K4</f>
        <v>2019</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1402</v>
      </c>
      <c r="D33" s="491">
        <f>'Cover Page'!K4</f>
        <v>2019</v>
      </c>
      <c r="E33" s="491" t="s">
        <v>2031</v>
      </c>
      <c r="F33" s="493" t="s">
        <v>2065</v>
      </c>
      <c r="G33" s="491" t="s">
        <v>2082</v>
      </c>
      <c r="H33" s="505">
        <f>'Cover Page'!M38</f>
        <v>0</v>
      </c>
      <c r="I33" s="502" t="s">
        <v>121</v>
      </c>
      <c r="J33" s="13"/>
      <c r="L33" s="539">
        <f>M6</f>
        <v>3769833.77</v>
      </c>
      <c r="M33" s="539">
        <f>S6</f>
        <v>3963049.91</v>
      </c>
      <c r="N33" s="544">
        <f>(M33-L33)/L33</f>
        <v>5.1253225417416781E-2</v>
      </c>
      <c r="O33" s="540">
        <f>M33-L33</f>
        <v>193216.14000000013</v>
      </c>
      <c r="P33" s="323"/>
      <c r="Q33" s="16" t="s">
        <v>37</v>
      </c>
      <c r="S33" s="12"/>
    </row>
    <row r="34" spans="1:20" s="20" customFormat="1">
      <c r="A34" s="504" t="str">
        <f ca="1">MID(CELL("filename",A22),FIND("]",CELL("filename",A22))+1,256)</f>
        <v>UFB-1 Tax Impact</v>
      </c>
      <c r="B34" s="503">
        <f>ROW()</f>
        <v>34</v>
      </c>
      <c r="C34" s="491" t="str">
        <f>'Cover Page'!K6</f>
        <v>1402</v>
      </c>
      <c r="D34" s="491">
        <f>'Cover Page'!K4</f>
        <v>2019</v>
      </c>
      <c r="E34" s="491" t="s">
        <v>2031</v>
      </c>
      <c r="F34" s="493" t="s">
        <v>2065</v>
      </c>
      <c r="H34" s="505">
        <f>'Cover Page'!M38</f>
        <v>0</v>
      </c>
      <c r="I34" s="491" t="s">
        <v>2087</v>
      </c>
      <c r="J34" s="13"/>
      <c r="O34" s="541"/>
      <c r="P34" s="323"/>
      <c r="Q34" s="20" t="str">
        <f>"Total Tax Revenue, Collections CY "&amp;'Cover Page'!K4-1</f>
        <v>Total Tax Revenue, Collections CY 2018</v>
      </c>
      <c r="S34" s="328">
        <v>19503605.920000002</v>
      </c>
    </row>
    <row r="35" spans="1:20" s="20" customFormat="1">
      <c r="A35" s="504" t="str">
        <f t="shared" ref="A35:A39" ca="1" si="1">MID(CELL("filename",A23),FIND("]",CELL("filename",A23))+1,256)</f>
        <v>UFB-1 Tax Impact</v>
      </c>
      <c r="B35" s="503">
        <f>ROW()</f>
        <v>35</v>
      </c>
      <c r="C35" s="491" t="str">
        <f>'Cover Page'!K6</f>
        <v>1402</v>
      </c>
      <c r="D35" s="491">
        <f>'Cover Page'!K4</f>
        <v>2019</v>
      </c>
      <c r="E35" s="491" t="s">
        <v>2031</v>
      </c>
      <c r="F35" s="493" t="s">
        <v>2065</v>
      </c>
      <c r="H35" s="505">
        <f>'Cover Page'!M38</f>
        <v>0</v>
      </c>
      <c r="I35" s="491" t="s">
        <v>2086</v>
      </c>
      <c r="J35" s="300" t="s">
        <v>36</v>
      </c>
      <c r="K35" s="301"/>
      <c r="L35" s="301"/>
      <c r="M35" s="301"/>
      <c r="N35" s="301"/>
      <c r="O35" s="302"/>
      <c r="P35" s="323"/>
      <c r="Q35" s="20" t="str">
        <f>"Total Tax Levy, CY "&amp;'Cover Page'!K4-1</f>
        <v>Total Tax Levy, CY 2018</v>
      </c>
      <c r="S35" s="555">
        <v>19717653.170000002</v>
      </c>
    </row>
    <row r="36" spans="1:20" s="20" customFormat="1" ht="13.5" thickBot="1">
      <c r="A36" s="504" t="str">
        <f t="shared" ca="1" si="1"/>
        <v>UFB-1 Tax Impact</v>
      </c>
      <c r="B36" s="503">
        <f>ROW()</f>
        <v>36</v>
      </c>
      <c r="C36" s="491" t="str">
        <f>'Cover Page'!K6</f>
        <v>1402</v>
      </c>
      <c r="D36" s="491">
        <f>'Cover Page'!K4</f>
        <v>2019</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2018</v>
      </c>
      <c r="S36" s="329">
        <f>IF(S35&gt;1,+S34/S35,0)</f>
        <v>0.98914438507693869</v>
      </c>
    </row>
    <row r="37" spans="1:20" s="20" customFormat="1" ht="15.75" thickTop="1">
      <c r="A37" s="504" t="str">
        <f t="shared" ca="1" si="1"/>
        <v>UFB-1 Tax Impact</v>
      </c>
      <c r="B37" s="503">
        <f>ROW()</f>
        <v>37</v>
      </c>
      <c r="C37" s="491" t="str">
        <f>'Cover Page'!K6</f>
        <v>1402</v>
      </c>
      <c r="D37" s="491">
        <f>'Cover Page'!K4</f>
        <v>2019</v>
      </c>
      <c r="E37" s="491" t="s">
        <v>2031</v>
      </c>
      <c r="F37" s="493" t="s">
        <v>2065</v>
      </c>
      <c r="G37" s="491" t="s">
        <v>2083</v>
      </c>
      <c r="H37" s="505">
        <f>'Cover Page'!M38</f>
        <v>0</v>
      </c>
      <c r="I37" s="432"/>
      <c r="J37" s="13"/>
      <c r="L37" s="542">
        <f>O6</f>
        <v>2277.15</v>
      </c>
      <c r="M37" s="543">
        <f>(+M$23/100)*M29</f>
        <v>2395.05177</v>
      </c>
      <c r="N37" s="544">
        <f>(M37-L37)/L37</f>
        <v>5.1776022659903803E-2</v>
      </c>
      <c r="O37" s="540">
        <f>M37-L37</f>
        <v>117.90176999999994</v>
      </c>
      <c r="P37" s="323"/>
      <c r="S37" s="12"/>
    </row>
    <row r="38" spans="1:20" s="20" customFormat="1" ht="13.5" thickBot="1">
      <c r="A38" s="504" t="str">
        <f t="shared" ca="1" si="1"/>
        <v>UFB-1 Tax Impact</v>
      </c>
      <c r="B38" s="503">
        <f>ROW()</f>
        <v>38</v>
      </c>
      <c r="C38" s="491" t="str">
        <f>'Cover Page'!K6</f>
        <v>1402</v>
      </c>
      <c r="D38" s="491">
        <f>'Cover Page'!K4</f>
        <v>2019</v>
      </c>
      <c r="E38" s="491" t="s">
        <v>2031</v>
      </c>
      <c r="F38" s="493" t="s">
        <v>2065</v>
      </c>
      <c r="H38" s="505">
        <f>'Cover Page'!M38</f>
        <v>0</v>
      </c>
      <c r="I38" s="491" t="s">
        <v>2084</v>
      </c>
      <c r="J38" s="26"/>
      <c r="O38" s="12"/>
      <c r="P38" s="323"/>
      <c r="Q38" s="14" t="str">
        <f>"Delinquent Taxes - December 31, "&amp;'Cover Page'!K4-1</f>
        <v>Delinquent Taxes - December 31, 2018</v>
      </c>
      <c r="R38" s="8"/>
      <c r="S38" s="330">
        <v>250950.84</v>
      </c>
    </row>
    <row r="39" spans="1:20" ht="15.75" thickTop="1">
      <c r="A39" s="504" t="str">
        <f t="shared" ca="1" si="1"/>
        <v>UFB-1 Tax Impact</v>
      </c>
      <c r="B39" s="503">
        <f>ROW()</f>
        <v>39</v>
      </c>
      <c r="C39" s="491" t="str">
        <f>'Cover Page'!K6</f>
        <v>1402</v>
      </c>
      <c r="D39" s="491">
        <f>'Cover Page'!K4</f>
        <v>2019</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algorithmName="SHA-512" hashValue="TZTLeB8albIG9WYGX6CrfWXuK++08siivCX/zSAhngBOJQUOjcDkK7iqQu7WrP+srk+qpYNA1PD5hdYvbOQC3g==" saltValue="56V50rScm4K+SLLEcZYdlA==" spinCount="100000" sheet="1" objects="1" scenarios="1"/>
  <mergeCells count="4">
    <mergeCell ref="R31:S31"/>
    <mergeCell ref="J1:T1"/>
    <mergeCell ref="Q3:R3"/>
    <mergeCell ref="J3:N3"/>
  </mergeCells>
  <dataValidations count="2">
    <dataValidation type="list" allowBlank="1" showInputMessage="1" showErrorMessage="1" sqref="R31:S31" xr:uid="{00000000-0002-0000-0200-000000000000}">
      <formula1>$V$29:$V$31</formula1>
    </dataValidation>
    <dataValidation type="list" allowBlank="1" showInputMessage="1" showErrorMessage="1" sqref="R6:R17" xr:uid="{00000000-0002-0000-0200-000001000000}">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Y37"/>
  <sheetViews>
    <sheetView topLeftCell="J1" workbookViewId="0">
      <selection activeCell="R18" sqref="R1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1402</v>
      </c>
      <c r="D1" s="491">
        <f>'Cover Page'!K4</f>
        <v>2019</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1402</v>
      </c>
      <c r="D2" s="491">
        <f>'Cover Page'!K4</f>
        <v>2019</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1402</v>
      </c>
      <c r="D3" s="491">
        <f>'Cover Page'!K4</f>
        <v>2019</v>
      </c>
      <c r="E3" s="491" t="s">
        <v>2031</v>
      </c>
      <c r="F3" s="491" t="s">
        <v>2080</v>
      </c>
      <c r="G3" s="491" t="s">
        <v>121</v>
      </c>
      <c r="H3" s="505">
        <f>'Cover Page'!M38</f>
        <v>0</v>
      </c>
      <c r="J3" s="355"/>
      <c r="K3" s="340"/>
      <c r="L3" s="692" t="s">
        <v>39</v>
      </c>
      <c r="M3" s="692" t="s">
        <v>40</v>
      </c>
      <c r="N3" s="44"/>
      <c r="O3" s="692" t="s">
        <v>305</v>
      </c>
      <c r="P3" s="44"/>
      <c r="Q3" s="692" t="s">
        <v>41</v>
      </c>
      <c r="R3" s="45" t="s">
        <v>42</v>
      </c>
      <c r="S3" s="454" t="s">
        <v>300</v>
      </c>
      <c r="T3" s="633" t="s">
        <v>2328</v>
      </c>
      <c r="U3" s="633" t="s">
        <v>2329</v>
      </c>
      <c r="V3" s="633"/>
      <c r="W3" s="633"/>
      <c r="X3" s="633"/>
      <c r="Y3" s="633"/>
    </row>
    <row r="4" spans="1:25">
      <c r="A4" s="491" t="str">
        <f t="shared" ca="1" si="0"/>
        <v>UFB-2 Revenue Summary</v>
      </c>
      <c r="B4" s="491">
        <f>ROW()</f>
        <v>4</v>
      </c>
      <c r="C4" s="491" t="str">
        <f>'Cover Page'!K6</f>
        <v>1402</v>
      </c>
      <c r="D4" s="491">
        <f>'Cover Page'!K4</f>
        <v>2019</v>
      </c>
      <c r="E4" s="491" t="s">
        <v>2031</v>
      </c>
      <c r="F4" s="491" t="s">
        <v>2080</v>
      </c>
      <c r="G4" s="491" t="s">
        <v>121</v>
      </c>
      <c r="H4" s="505">
        <f>'Cover Page'!M38</f>
        <v>0</v>
      </c>
      <c r="J4" s="356" t="s">
        <v>43</v>
      </c>
      <c r="K4" s="341"/>
      <c r="L4" s="693"/>
      <c r="M4" s="693"/>
      <c r="N4" s="48"/>
      <c r="O4" s="695"/>
      <c r="P4" s="48"/>
      <c r="Q4" s="697"/>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1402</v>
      </c>
      <c r="D5" s="491">
        <f>'Cover Page'!K4</f>
        <v>2019</v>
      </c>
      <c r="E5" s="491" t="s">
        <v>2031</v>
      </c>
      <c r="F5" s="491" t="s">
        <v>2080</v>
      </c>
      <c r="G5" s="491"/>
      <c r="H5" s="505">
        <f>'Cover Page'!M38</f>
        <v>0</v>
      </c>
      <c r="J5" s="356"/>
      <c r="K5" s="342"/>
      <c r="L5" s="694"/>
      <c r="M5" s="694"/>
      <c r="N5" s="49"/>
      <c r="O5" s="696"/>
      <c r="P5" s="49"/>
      <c r="Q5" s="698"/>
      <c r="R5" s="50"/>
      <c r="S5" s="452"/>
      <c r="T5" s="452"/>
      <c r="U5" s="452"/>
      <c r="V5" s="452"/>
      <c r="W5" s="452"/>
      <c r="X5" s="452"/>
      <c r="Y5" s="452"/>
    </row>
    <row r="6" spans="1:25">
      <c r="A6" s="491" t="str">
        <f t="shared" ca="1" si="0"/>
        <v>UFB-2 Revenue Summary</v>
      </c>
      <c r="B6" s="491">
        <f>ROW()</f>
        <v>6</v>
      </c>
      <c r="C6" s="491">
        <f>'Cover Page'!K5</f>
        <v>391</v>
      </c>
      <c r="D6" s="491">
        <f>'Cover Page'!K4</f>
        <v>2019</v>
      </c>
      <c r="E6" s="491" t="s">
        <v>2031</v>
      </c>
      <c r="F6" s="491" t="s">
        <v>2080</v>
      </c>
      <c r="G6" s="491" t="s">
        <v>2099</v>
      </c>
      <c r="H6" s="505">
        <f>'Cover Page'!M37</f>
        <v>0</v>
      </c>
      <c r="J6" s="357" t="s">
        <v>46</v>
      </c>
      <c r="K6" s="342" t="s">
        <v>2278</v>
      </c>
      <c r="L6" s="256">
        <f>M6/O6</f>
        <v>1.2054541879558827E-2</v>
      </c>
      <c r="M6" s="257">
        <f>(Q6-O6)</f>
        <v>17624.679999999935</v>
      </c>
      <c r="N6" s="51"/>
      <c r="O6" s="260">
        <f>1244232+129920.53+87925.43</f>
        <v>1462077.96</v>
      </c>
      <c r="P6" s="51"/>
      <c r="Q6" s="257">
        <f>SUM(R6:Y6)</f>
        <v>1479702.64</v>
      </c>
      <c r="R6" s="260">
        <v>1244232</v>
      </c>
      <c r="S6" s="260"/>
      <c r="T6" s="260">
        <v>139750.46</v>
      </c>
      <c r="U6" s="260">
        <v>95720.18</v>
      </c>
      <c r="V6" s="260"/>
      <c r="W6" s="260"/>
      <c r="X6" s="260"/>
      <c r="Y6" s="260"/>
    </row>
    <row r="7" spans="1:25">
      <c r="A7" s="491" t="str">
        <f t="shared" ca="1" si="0"/>
        <v>UFB-2 Revenue Summary</v>
      </c>
      <c r="B7" s="491">
        <f>ROW()</f>
        <v>7</v>
      </c>
      <c r="C7" s="491" t="str">
        <f>'Cover Page'!K6</f>
        <v>1402</v>
      </c>
      <c r="D7" s="491">
        <f>'Cover Page'!K4</f>
        <v>2019</v>
      </c>
      <c r="E7" s="491" t="s">
        <v>2031</v>
      </c>
      <c r="F7" s="491" t="s">
        <v>2080</v>
      </c>
      <c r="G7" s="491" t="s">
        <v>2100</v>
      </c>
      <c r="H7" s="505">
        <f>'Cover Page'!M38</f>
        <v>0</v>
      </c>
      <c r="J7" s="357" t="s">
        <v>46</v>
      </c>
      <c r="K7" s="342" t="s">
        <v>47</v>
      </c>
      <c r="L7" s="256">
        <f>M7/O7</f>
        <v>-0.27815351970785585</v>
      </c>
      <c r="M7" s="257">
        <f>(Q7-O7)</f>
        <v>-200065.08999999997</v>
      </c>
      <c r="N7" s="51"/>
      <c r="O7" s="260">
        <f>86567.05+332121.23+11874.99+817.47+230742.71+44789.15+3040.85+9207.95+100</f>
        <v>719261.39999999991</v>
      </c>
      <c r="P7" s="51"/>
      <c r="Q7" s="257">
        <f>SUM(R7:Y7)</f>
        <v>519196.30999999994</v>
      </c>
      <c r="R7" s="260">
        <v>73300</v>
      </c>
      <c r="S7" s="260"/>
      <c r="T7" s="260">
        <f>279000+2339.54</f>
        <v>281339.53999999998</v>
      </c>
      <c r="U7" s="260">
        <f>161500+3056.77</f>
        <v>164556.76999999999</v>
      </c>
      <c r="V7" s="260"/>
      <c r="W7" s="260"/>
      <c r="X7" s="260"/>
      <c r="Y7" s="260"/>
    </row>
    <row r="8" spans="1:25">
      <c r="A8" s="491" t="str">
        <f ca="1">MID(CELL("filename",A8),FIND("]",CELL("filename",A8))+1,256)</f>
        <v>UFB-2 Revenue Summary</v>
      </c>
      <c r="B8" s="491">
        <f>ROW()</f>
        <v>8</v>
      </c>
      <c r="C8" s="491" t="str">
        <f>'Cover Page'!K6</f>
        <v>1402</v>
      </c>
      <c r="D8" s="491">
        <f>'Cover Page'!K4</f>
        <v>2019</v>
      </c>
      <c r="E8" s="491" t="s">
        <v>2031</v>
      </c>
      <c r="F8" s="491" t="s">
        <v>2080</v>
      </c>
      <c r="G8" s="491" t="s">
        <v>2101</v>
      </c>
      <c r="H8" s="505">
        <f>'Cover Page'!M38</f>
        <v>0</v>
      </c>
      <c r="J8" s="357" t="s">
        <v>48</v>
      </c>
      <c r="K8" s="342" t="s">
        <v>49</v>
      </c>
      <c r="L8" s="256">
        <f>M8/O8</f>
        <v>0</v>
      </c>
      <c r="M8" s="257">
        <f t="shared" ref="M8:M22" si="1">(Q8-O8)</f>
        <v>0</v>
      </c>
      <c r="N8" s="51"/>
      <c r="O8" s="260">
        <v>240871</v>
      </c>
      <c r="P8" s="51"/>
      <c r="Q8" s="257">
        <f>SUM(R8:Y8)</f>
        <v>240871</v>
      </c>
      <c r="R8" s="260">
        <v>240871</v>
      </c>
      <c r="S8" s="260"/>
      <c r="T8" s="260"/>
      <c r="U8" s="260"/>
      <c r="V8" s="260"/>
      <c r="W8" s="260"/>
      <c r="X8" s="260"/>
      <c r="Y8" s="260"/>
    </row>
    <row r="9" spans="1:25">
      <c r="A9" s="491" t="str">
        <f ca="1">MID(CELL("filename",A9),FIND("]",CELL("filename",A9))+1,256)</f>
        <v>UFB-2 Revenue Summary</v>
      </c>
      <c r="B9" s="491">
        <f>ROW()</f>
        <v>9</v>
      </c>
      <c r="C9" s="491" t="str">
        <f>'Cover Page'!K6</f>
        <v>1402</v>
      </c>
      <c r="D9" s="491">
        <f>'Cover Page'!K4</f>
        <v>2019</v>
      </c>
      <c r="E9" s="491" t="s">
        <v>2031</v>
      </c>
      <c r="F9" s="491" t="s">
        <v>2080</v>
      </c>
      <c r="G9" s="491" t="s">
        <v>2102</v>
      </c>
      <c r="H9" s="505">
        <f>'Cover Page'!M38</f>
        <v>0</v>
      </c>
      <c r="J9" s="357" t="s">
        <v>46</v>
      </c>
      <c r="K9" s="343" t="s">
        <v>50</v>
      </c>
      <c r="L9" s="256">
        <f>M9/O9</f>
        <v>-0.95888496011841129</v>
      </c>
      <c r="M9" s="257">
        <f t="shared" si="1"/>
        <v>-116610</v>
      </c>
      <c r="N9" s="51"/>
      <c r="O9" s="260">
        <v>121610</v>
      </c>
      <c r="P9" s="51"/>
      <c r="Q9" s="257">
        <f>SUM(R9:Y9)</f>
        <v>5000</v>
      </c>
      <c r="R9" s="260">
        <v>5000</v>
      </c>
      <c r="S9" s="260"/>
      <c r="T9" s="260"/>
      <c r="U9" s="260"/>
      <c r="V9" s="260"/>
      <c r="W9" s="260"/>
      <c r="X9" s="260"/>
      <c r="Y9" s="260"/>
    </row>
    <row r="10" spans="1:25">
      <c r="A10" s="491" t="str">
        <f ca="1">MID(CELL("filename",A10),FIND("]",CELL("filename",A10))+1,256)</f>
        <v>UFB-2 Revenue Summary</v>
      </c>
      <c r="B10" s="491">
        <f>ROW()</f>
        <v>10</v>
      </c>
      <c r="C10" s="491" t="str">
        <f>'Cover Page'!K6</f>
        <v>1402</v>
      </c>
      <c r="D10" s="491">
        <f>'Cover Page'!K4</f>
        <v>2019</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1402</v>
      </c>
      <c r="D11" s="491">
        <f>'Cover Page'!K4</f>
        <v>2019</v>
      </c>
      <c r="E11" s="491" t="s">
        <v>2031</v>
      </c>
      <c r="F11" s="491" t="s">
        <v>2080</v>
      </c>
      <c r="G11" s="491" t="s">
        <v>2103</v>
      </c>
      <c r="H11" s="505">
        <f>'Cover Page'!M38</f>
        <v>0</v>
      </c>
      <c r="J11" s="357" t="s">
        <v>51</v>
      </c>
      <c r="K11" s="343" t="s">
        <v>52</v>
      </c>
      <c r="L11" s="256" t="e">
        <f>M11/O11</f>
        <v>#DIV/0!</v>
      </c>
      <c r="M11" s="257">
        <f t="shared" si="1"/>
        <v>0</v>
      </c>
      <c r="N11" s="51"/>
      <c r="O11" s="260">
        <v>0</v>
      </c>
      <c r="P11" s="51"/>
      <c r="Q11" s="257">
        <f>SUM(R11:Y11)</f>
        <v>0</v>
      </c>
      <c r="R11" s="409"/>
      <c r="S11" s="409"/>
      <c r="T11" s="409"/>
      <c r="U11" s="409"/>
      <c r="V11" s="409"/>
      <c r="W11" s="409"/>
      <c r="X11" s="409"/>
      <c r="Y11" s="409"/>
    </row>
    <row r="12" spans="1:25">
      <c r="A12" s="491" t="str">
        <f t="shared" ca="1" si="0"/>
        <v>UFB-2 Revenue Summary</v>
      </c>
      <c r="B12" s="491">
        <f>ROW()</f>
        <v>12</v>
      </c>
      <c r="C12" s="491" t="str">
        <f>'Cover Page'!K6</f>
        <v>1402</v>
      </c>
      <c r="D12" s="491">
        <f>'Cover Page'!K4</f>
        <v>2019</v>
      </c>
      <c r="E12" s="491" t="s">
        <v>2031</v>
      </c>
      <c r="F12" s="491" t="s">
        <v>2080</v>
      </c>
      <c r="G12" s="491" t="s">
        <v>2104</v>
      </c>
      <c r="H12" s="505">
        <f>'Cover Page'!M38</f>
        <v>0</v>
      </c>
      <c r="J12" s="357" t="s">
        <v>46</v>
      </c>
      <c r="K12" s="343" t="s">
        <v>53</v>
      </c>
      <c r="L12" s="256" t="e">
        <f>M12/O12</f>
        <v>#DIV/0!</v>
      </c>
      <c r="M12" s="257">
        <f t="shared" si="1"/>
        <v>0</v>
      </c>
      <c r="N12" s="51"/>
      <c r="O12" s="260">
        <v>0</v>
      </c>
      <c r="P12" s="51"/>
      <c r="Q12" s="257">
        <f>SUM(R12:Y12)</f>
        <v>0</v>
      </c>
      <c r="R12" s="409"/>
      <c r="S12" s="409"/>
      <c r="T12" s="409"/>
      <c r="U12" s="409"/>
      <c r="V12" s="409"/>
      <c r="W12" s="409"/>
      <c r="X12" s="409"/>
      <c r="Y12" s="409"/>
    </row>
    <row r="13" spans="1:25">
      <c r="A13" s="491" t="str">
        <f t="shared" ca="1" si="0"/>
        <v>UFB-2 Revenue Summary</v>
      </c>
      <c r="B13" s="491">
        <f>ROW()</f>
        <v>13</v>
      </c>
      <c r="C13" s="491" t="str">
        <f>'Cover Page'!K6</f>
        <v>1402</v>
      </c>
      <c r="D13" s="491">
        <f>'Cover Page'!K4</f>
        <v>2019</v>
      </c>
      <c r="E13" s="491" t="s">
        <v>2031</v>
      </c>
      <c r="F13" s="491" t="s">
        <v>2080</v>
      </c>
      <c r="G13" s="491" t="s">
        <v>2105</v>
      </c>
      <c r="H13" s="505">
        <f>'Cover Page'!M38</f>
        <v>0</v>
      </c>
      <c r="J13" s="357" t="s">
        <v>54</v>
      </c>
      <c r="K13" s="343" t="s">
        <v>2287</v>
      </c>
      <c r="L13" s="256">
        <f>M13/O13</f>
        <v>-0.93317123188271833</v>
      </c>
      <c r="M13" s="257">
        <f t="shared" si="1"/>
        <v>-312443.58</v>
      </c>
      <c r="N13" s="51"/>
      <c r="O13" s="260">
        <v>334819.13</v>
      </c>
      <c r="P13" s="51"/>
      <c r="Q13" s="257">
        <f>SUM(R13:Y13)</f>
        <v>22375.55</v>
      </c>
      <c r="R13" s="409">
        <v>22375.55</v>
      </c>
      <c r="S13" s="409"/>
      <c r="T13" s="409"/>
      <c r="U13" s="409"/>
      <c r="V13" s="409"/>
      <c r="W13" s="409"/>
      <c r="X13" s="409"/>
      <c r="Y13" s="409"/>
    </row>
    <row r="14" spans="1:25">
      <c r="A14" s="491" t="str">
        <f t="shared" ca="1" si="0"/>
        <v>UFB-2 Revenue Summary</v>
      </c>
      <c r="B14" s="491">
        <f>ROW()</f>
        <v>14</v>
      </c>
      <c r="C14" s="491" t="str">
        <f>'Cover Page'!K6</f>
        <v>1402</v>
      </c>
      <c r="D14" s="491">
        <f>'Cover Page'!K4</f>
        <v>2019</v>
      </c>
      <c r="E14" s="491" t="s">
        <v>2031</v>
      </c>
      <c r="F14" s="491" t="s">
        <v>2080</v>
      </c>
      <c r="G14" s="491" t="s">
        <v>2106</v>
      </c>
      <c r="H14" s="505">
        <f>'Cover Page'!M38</f>
        <v>0</v>
      </c>
      <c r="J14" s="357" t="s">
        <v>46</v>
      </c>
      <c r="K14" s="343" t="s">
        <v>55</v>
      </c>
      <c r="L14" s="256">
        <f>M14/O14</f>
        <v>3.137249636821398E-2</v>
      </c>
      <c r="M14" s="257">
        <f t="shared" si="1"/>
        <v>12805</v>
      </c>
      <c r="N14" s="51"/>
      <c r="O14" s="260">
        <v>408160.06</v>
      </c>
      <c r="P14" s="51"/>
      <c r="Q14" s="257">
        <f>SUM(R14:Y14)</f>
        <v>420965.06</v>
      </c>
      <c r="R14" s="409">
        <v>420965.06</v>
      </c>
      <c r="S14" s="409"/>
      <c r="T14" s="409"/>
      <c r="U14" s="409"/>
      <c r="V14" s="409"/>
      <c r="W14" s="409"/>
      <c r="X14" s="409"/>
      <c r="Y14" s="409"/>
    </row>
    <row r="15" spans="1:25">
      <c r="A15" s="491" t="str">
        <f t="shared" ca="1" si="0"/>
        <v>UFB-2 Revenue Summary</v>
      </c>
      <c r="B15" s="491">
        <f>ROW()</f>
        <v>15</v>
      </c>
      <c r="C15" s="491" t="str">
        <f>'Cover Page'!K6</f>
        <v>1402</v>
      </c>
      <c r="D15" s="491">
        <f>'Cover Page'!K4</f>
        <v>2019</v>
      </c>
      <c r="E15" s="491" t="s">
        <v>2031</v>
      </c>
      <c r="F15" s="491" t="s">
        <v>2080</v>
      </c>
      <c r="G15" s="491" t="s">
        <v>2107</v>
      </c>
      <c r="H15" s="505">
        <f>'Cover Page'!M38</f>
        <v>0</v>
      </c>
      <c r="J15" s="357" t="s">
        <v>56</v>
      </c>
      <c r="K15" s="343" t="s">
        <v>57</v>
      </c>
      <c r="L15" s="256">
        <f>M15/O15</f>
        <v>-0.42570698121195971</v>
      </c>
      <c r="M15" s="257">
        <f t="shared" si="1"/>
        <v>-96365.28</v>
      </c>
      <c r="N15" s="51"/>
      <c r="O15" s="260">
        <v>226365.28</v>
      </c>
      <c r="P15" s="51"/>
      <c r="Q15" s="257">
        <f>SUM(R15:Y15)</f>
        <v>130000</v>
      </c>
      <c r="R15" s="409">
        <v>130000</v>
      </c>
      <c r="S15" s="409"/>
      <c r="T15" s="409"/>
      <c r="U15" s="409"/>
      <c r="V15" s="409"/>
      <c r="W15" s="409"/>
      <c r="X15" s="409"/>
      <c r="Y15" s="409"/>
    </row>
    <row r="16" spans="1:25">
      <c r="A16" s="491" t="str">
        <f t="shared" ca="1" si="0"/>
        <v>UFB-2 Revenue Summary</v>
      </c>
      <c r="B16" s="491">
        <f>ROW()</f>
        <v>16</v>
      </c>
      <c r="C16" s="491" t="str">
        <f>'Cover Page'!K6</f>
        <v>1402</v>
      </c>
      <c r="D16" s="491">
        <f>'Cover Page'!K4</f>
        <v>2019</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1402</v>
      </c>
      <c r="D17" s="491">
        <f>'Cover Page'!K4</f>
        <v>2019</v>
      </c>
      <c r="E17" s="491" t="s">
        <v>2031</v>
      </c>
      <c r="F17" s="491" t="s">
        <v>2080</v>
      </c>
      <c r="G17" s="491" t="s">
        <v>2108</v>
      </c>
      <c r="H17" s="505">
        <f>'Cover Page'!M38</f>
        <v>0</v>
      </c>
      <c r="J17" s="357" t="s">
        <v>58</v>
      </c>
      <c r="K17" s="343" t="s">
        <v>59</v>
      </c>
      <c r="L17" s="256">
        <f t="shared" ref="L17:L22" si="2">M17/O17</f>
        <v>-4.8512641832914427E-2</v>
      </c>
      <c r="M17" s="257">
        <f t="shared" si="1"/>
        <v>-202060.50999999978</v>
      </c>
      <c r="N17" s="51"/>
      <c r="O17" s="260">
        <v>4165110.42</v>
      </c>
      <c r="P17" s="51"/>
      <c r="Q17" s="257">
        <f>SUM(R17:Y17)</f>
        <v>3963049.91</v>
      </c>
      <c r="R17" s="409">
        <v>3963049.91</v>
      </c>
      <c r="S17" s="409"/>
      <c r="T17" s="409"/>
      <c r="U17" s="409"/>
      <c r="V17" s="409"/>
      <c r="W17" s="409"/>
      <c r="X17" s="409"/>
      <c r="Y17" s="409"/>
    </row>
    <row r="18" spans="1:25">
      <c r="A18" s="491" t="str">
        <f t="shared" ca="1" si="0"/>
        <v>UFB-2 Revenue Summary</v>
      </c>
      <c r="B18" s="491">
        <f>ROW()</f>
        <v>18</v>
      </c>
      <c r="C18" s="491" t="str">
        <f>'Cover Page'!K6</f>
        <v>1402</v>
      </c>
      <c r="D18" s="491">
        <f>'Cover Page'!K4</f>
        <v>2019</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1402</v>
      </c>
      <c r="D19" s="491">
        <f>'Cover Page'!K4</f>
        <v>2019</v>
      </c>
      <c r="E19" s="491" t="s">
        <v>2031</v>
      </c>
      <c r="F19" s="491" t="s">
        <v>2080</v>
      </c>
      <c r="G19" s="491" t="s">
        <v>2110</v>
      </c>
      <c r="H19" s="505">
        <f>'Cover Page'!M38</f>
        <v>0</v>
      </c>
      <c r="J19" s="455" t="s">
        <v>2266</v>
      </c>
      <c r="K19" s="456" t="s">
        <v>301</v>
      </c>
      <c r="L19" s="256">
        <f t="shared" si="2"/>
        <v>5.6223327975187952E-4</v>
      </c>
      <c r="M19" s="257">
        <f t="shared" si="1"/>
        <v>147.54999999998836</v>
      </c>
      <c r="N19" s="51"/>
      <c r="O19" s="260">
        <v>262435.55</v>
      </c>
      <c r="P19" s="51"/>
      <c r="Q19" s="257">
        <f>SUM(R19:Y19)</f>
        <v>262583.09999999998</v>
      </c>
      <c r="R19" s="457"/>
      <c r="S19" s="457">
        <v>262583.09999999998</v>
      </c>
      <c r="T19" s="457"/>
      <c r="U19" s="457"/>
      <c r="V19" s="457"/>
      <c r="W19" s="457"/>
      <c r="X19" s="457"/>
      <c r="Y19" s="457"/>
    </row>
    <row r="20" spans="1:25">
      <c r="A20" s="491" t="str">
        <f t="shared" ca="1" si="0"/>
        <v>UFB-2 Revenue Summary</v>
      </c>
      <c r="B20" s="491">
        <f>ROW()</f>
        <v>20</v>
      </c>
      <c r="C20" s="491" t="str">
        <f>'Cover Page'!K6</f>
        <v>1402</v>
      </c>
      <c r="D20" s="491">
        <f>'Cover Page'!K4</f>
        <v>2019</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1402</v>
      </c>
      <c r="D21" s="491">
        <f>'Cover Page'!K4</f>
        <v>2019</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1402</v>
      </c>
      <c r="D22" s="491">
        <f>'Cover Page'!K4</f>
        <v>2019</v>
      </c>
      <c r="E22" s="491" t="s">
        <v>2031</v>
      </c>
      <c r="F22" s="491" t="s">
        <v>2080</v>
      </c>
      <c r="G22" s="491" t="s">
        <v>2113</v>
      </c>
      <c r="H22" s="505">
        <f>'Cover Page'!M38</f>
        <v>0</v>
      </c>
      <c r="J22" s="360"/>
      <c r="K22" s="347" t="s">
        <v>97</v>
      </c>
      <c r="L22" s="254">
        <f t="shared" si="2"/>
        <v>-0.11295805282318057</v>
      </c>
      <c r="M22" s="259">
        <f t="shared" si="1"/>
        <v>-896967.23000000045</v>
      </c>
      <c r="N22" s="52"/>
      <c r="O22" s="259">
        <f>SUM(O6:O21)</f>
        <v>7940710.7999999998</v>
      </c>
      <c r="P22" s="52"/>
      <c r="Q22" s="259">
        <f>SUM(Q6:Q21)</f>
        <v>7043743.5699999994</v>
      </c>
      <c r="R22" s="259">
        <f>SUM(R6:R21)</f>
        <v>6099793.5200000005</v>
      </c>
      <c r="S22" s="259">
        <f>SUM(S6:S21)</f>
        <v>262583.09999999998</v>
      </c>
      <c r="T22" s="259">
        <f>SUM(T6:T21)</f>
        <v>421090</v>
      </c>
      <c r="U22" s="259">
        <f>SUM(U6:U21)</f>
        <v>260276.94999999998</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91" t="s">
        <v>2275</v>
      </c>
      <c r="L23" s="691"/>
      <c r="M23" s="691"/>
      <c r="N23" s="691"/>
      <c r="O23" s="691"/>
      <c r="P23" s="691"/>
      <c r="Q23" s="691"/>
      <c r="R23" s="691"/>
      <c r="S23" s="691"/>
      <c r="T23" s="691"/>
      <c r="U23" s="691"/>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algorithmName="SHA-512" hashValue="k3q3kTKZnygEgSX/WmzJZt+63A20z7ETmCLIoPC8K98CHslbSCRZrqj22+2yycpMe8dgfRRrqHHhHvjgdcM1+Q==" saltValue="uXtBa9fv9fhTt0oflCj8oQ==" spinCount="100000"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A40"/>
  <sheetViews>
    <sheetView topLeftCell="L1" zoomScaleNormal="100" workbookViewId="0">
      <selection activeCell="W11" sqref="W11"/>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1402</v>
      </c>
      <c r="D1" s="491">
        <f>'Cover Page'!K4</f>
        <v>2019</v>
      </c>
      <c r="E1" s="491" t="s">
        <v>2031</v>
      </c>
      <c r="F1" s="491" t="s">
        <v>2114</v>
      </c>
      <c r="G1" s="491"/>
      <c r="H1" s="505">
        <f>'Cover Page'!M38</f>
        <v>0</v>
      </c>
      <c r="J1" s="700" t="s">
        <v>268</v>
      </c>
      <c r="K1" s="700"/>
      <c r="L1" s="700"/>
      <c r="M1" s="700"/>
      <c r="N1" s="700"/>
      <c r="O1" s="700"/>
      <c r="P1" s="700"/>
      <c r="Q1" s="700"/>
      <c r="R1" s="700"/>
      <c r="S1" s="700"/>
      <c r="T1" s="700"/>
      <c r="U1" s="700"/>
      <c r="V1" s="700"/>
      <c r="W1" s="700"/>
    </row>
    <row r="2" spans="1:27" ht="16.5" thickTop="1">
      <c r="A2" s="491" t="str">
        <f ca="1">MID(CELL("filename",A2),FIND("]",CELL("filename",A2))+1,256)</f>
        <v>UFB-3 Appropriations Summary</v>
      </c>
      <c r="B2" s="491">
        <f>ROW()</f>
        <v>2</v>
      </c>
      <c r="C2" s="491" t="str">
        <f>'Cover Page'!K6</f>
        <v>1402</v>
      </c>
      <c r="D2" s="491">
        <f>'Cover Page'!K4</f>
        <v>2019</v>
      </c>
      <c r="E2" s="491" t="s">
        <v>2031</v>
      </c>
      <c r="F2" s="491" t="s">
        <v>2114</v>
      </c>
      <c r="G2" s="491" t="s">
        <v>121</v>
      </c>
      <c r="H2" s="505">
        <f>'Cover Page'!M38</f>
        <v>0</v>
      </c>
      <c r="J2" s="348"/>
      <c r="K2" s="353"/>
      <c r="L2" s="703" t="s">
        <v>209</v>
      </c>
      <c r="M2" s="704"/>
      <c r="N2" s="692" t="s">
        <v>62</v>
      </c>
      <c r="O2" s="692" t="s">
        <v>63</v>
      </c>
      <c r="P2" s="692" t="s">
        <v>306</v>
      </c>
      <c r="Q2" s="44"/>
      <c r="R2" s="692" t="s">
        <v>64</v>
      </c>
      <c r="S2" s="354" t="s">
        <v>42</v>
      </c>
      <c r="T2" s="354" t="s">
        <v>2269</v>
      </c>
      <c r="U2" s="454" t="s">
        <v>300</v>
      </c>
      <c r="V2" s="633" t="s">
        <v>2351</v>
      </c>
      <c r="W2" s="633" t="s">
        <v>2329</v>
      </c>
      <c r="X2" s="633"/>
      <c r="Y2" s="633"/>
      <c r="Z2" s="633"/>
      <c r="AA2" s="633"/>
    </row>
    <row r="3" spans="1:27">
      <c r="A3" s="491" t="str">
        <f t="shared" ref="A3:A28" ca="1" si="0">MID(CELL("filename",A3),FIND("]",CELL("filename",A3))+1,256)</f>
        <v>UFB-3 Appropriations Summary</v>
      </c>
      <c r="B3" s="491">
        <f>ROW()</f>
        <v>3</v>
      </c>
      <c r="C3" s="491" t="str">
        <f>'Cover Page'!K6</f>
        <v>1402</v>
      </c>
      <c r="D3" s="491">
        <f>'Cover Page'!K4</f>
        <v>2019</v>
      </c>
      <c r="E3" s="491" t="s">
        <v>2031</v>
      </c>
      <c r="F3" s="491" t="s">
        <v>2114</v>
      </c>
      <c r="G3" s="491" t="s">
        <v>121</v>
      </c>
      <c r="H3" s="505">
        <f>'Cover Page'!M38</f>
        <v>0</v>
      </c>
      <c r="J3" s="349" t="s">
        <v>43</v>
      </c>
      <c r="K3" s="58"/>
      <c r="L3" s="202" t="s">
        <v>210</v>
      </c>
      <c r="M3" s="203" t="s">
        <v>211</v>
      </c>
      <c r="N3" s="693"/>
      <c r="O3" s="701"/>
      <c r="P3" s="701"/>
      <c r="Q3" s="60"/>
      <c r="R3" s="693"/>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1402</v>
      </c>
      <c r="D4" s="491">
        <f>'Cover Page'!K4</f>
        <v>2019</v>
      </c>
      <c r="E4" s="491" t="s">
        <v>2031</v>
      </c>
      <c r="F4" s="491" t="s">
        <v>2114</v>
      </c>
      <c r="G4" s="491" t="s">
        <v>121</v>
      </c>
      <c r="H4" s="505">
        <f>'Cover Page'!M38</f>
        <v>0</v>
      </c>
      <c r="L4" s="204"/>
      <c r="M4" s="205"/>
      <c r="N4" s="694"/>
      <c r="O4" s="702"/>
      <c r="P4" s="702"/>
      <c r="Q4" s="62"/>
      <c r="R4" s="694"/>
      <c r="S4" s="50"/>
      <c r="T4" s="50"/>
      <c r="U4" s="452"/>
      <c r="V4" s="452"/>
      <c r="W4" s="452"/>
      <c r="X4" s="452"/>
      <c r="Y4" s="452"/>
      <c r="Z4" s="452"/>
      <c r="AA4" s="452"/>
    </row>
    <row r="5" spans="1:27">
      <c r="A5" s="491" t="str">
        <f t="shared" ca="1" si="0"/>
        <v>UFB-3 Appropriations Summary</v>
      </c>
      <c r="B5" s="491">
        <f>ROW()</f>
        <v>5</v>
      </c>
      <c r="C5" s="491" t="str">
        <f>'Cover Page'!K6</f>
        <v>1402</v>
      </c>
      <c r="D5" s="491">
        <f>'Cover Page'!K4</f>
        <v>2019</v>
      </c>
      <c r="E5" s="491" t="s">
        <v>2031</v>
      </c>
      <c r="F5" s="491" t="s">
        <v>2114</v>
      </c>
      <c r="G5" s="491" t="s">
        <v>2136</v>
      </c>
      <c r="H5" s="505">
        <f>'Cover Page'!M38</f>
        <v>0</v>
      </c>
      <c r="J5" s="350">
        <v>20</v>
      </c>
      <c r="K5" s="628" t="s">
        <v>65</v>
      </c>
      <c r="L5" s="245">
        <v>2.31</v>
      </c>
      <c r="M5" s="246">
        <v>4.05</v>
      </c>
      <c r="N5" s="261">
        <f t="shared" ref="N5:N28" si="1">O5/P5</f>
        <v>-1.3272801068370473E-2</v>
      </c>
      <c r="O5" s="257">
        <f t="shared" ref="O5:O28" si="2">(R5-P5)</f>
        <v>-8110</v>
      </c>
      <c r="P5" s="260">
        <f>31569+4000+20000+5000+54869+9150+5000+53239+6000+12000+25115+8500+37580+4825+12041+12250+88800+7036+103400+500+2000+3000+44780+60280+90</f>
        <v>611024</v>
      </c>
      <c r="Q5" s="51"/>
      <c r="R5" s="257">
        <f t="shared" ref="R5:R27" si="3">SUM(S5:AA5)</f>
        <v>602914</v>
      </c>
      <c r="S5" s="260">
        <f>32200+3800+25000+4000+59313+8150+5000+54304+6000+12675+25617+5500+37311+4825+12282+14000+83800+7177+88400+500+2000+3000</f>
        <v>494854</v>
      </c>
      <c r="T5" s="260">
        <v>3000</v>
      </c>
      <c r="U5" s="260"/>
      <c r="V5" s="260">
        <v>44780</v>
      </c>
      <c r="W5" s="260">
        <v>60280</v>
      </c>
      <c r="X5" s="260"/>
      <c r="Y5" s="260"/>
      <c r="Z5" s="260"/>
      <c r="AA5" s="260"/>
    </row>
    <row r="6" spans="1:27">
      <c r="A6" s="491" t="str">
        <f t="shared" ca="1" si="0"/>
        <v>UFB-3 Appropriations Summary</v>
      </c>
      <c r="B6" s="491">
        <f>ROW()</f>
        <v>6</v>
      </c>
      <c r="C6" s="491" t="str">
        <f>'Cover Page'!K6</f>
        <v>1402</v>
      </c>
      <c r="D6" s="491">
        <f>'Cover Page'!K4</f>
        <v>2019</v>
      </c>
      <c r="E6" s="491" t="s">
        <v>2031</v>
      </c>
      <c r="F6" s="491" t="s">
        <v>2114</v>
      </c>
      <c r="G6" s="491" t="s">
        <v>2115</v>
      </c>
      <c r="H6" s="505">
        <f>'Cover Page'!M38</f>
        <v>0</v>
      </c>
      <c r="J6" s="350">
        <v>21</v>
      </c>
      <c r="K6" s="61" t="s">
        <v>66</v>
      </c>
      <c r="L6" s="245">
        <v>0.78</v>
      </c>
      <c r="M6" s="246"/>
      <c r="N6" s="261">
        <f t="shared" si="1"/>
        <v>0.34449900418927271</v>
      </c>
      <c r="O6" s="257">
        <f t="shared" si="2"/>
        <v>20065</v>
      </c>
      <c r="P6" s="260">
        <f>26694+31550</f>
        <v>58244</v>
      </c>
      <c r="Q6" s="51"/>
      <c r="R6" s="257">
        <f t="shared" si="3"/>
        <v>78309</v>
      </c>
      <c r="S6" s="260">
        <f>46859+31450</f>
        <v>78309</v>
      </c>
      <c r="T6" s="260"/>
      <c r="U6" s="260"/>
      <c r="V6" s="260"/>
      <c r="W6" s="260"/>
      <c r="X6" s="260"/>
      <c r="Y6" s="260"/>
      <c r="Z6" s="260"/>
      <c r="AA6" s="260"/>
    </row>
    <row r="7" spans="1:27">
      <c r="A7" s="491" t="str">
        <f t="shared" ca="1" si="0"/>
        <v>UFB-3 Appropriations Summary</v>
      </c>
      <c r="B7" s="491">
        <f>ROW()</f>
        <v>7</v>
      </c>
      <c r="C7" s="491" t="str">
        <f>'Cover Page'!K6</f>
        <v>1402</v>
      </c>
      <c r="D7" s="491">
        <f>'Cover Page'!K4</f>
        <v>2019</v>
      </c>
      <c r="E7" s="491" t="s">
        <v>2031</v>
      </c>
      <c r="F7" s="491" t="s">
        <v>2114</v>
      </c>
      <c r="G7" s="491" t="s">
        <v>2116</v>
      </c>
      <c r="H7" s="505">
        <f>'Cover Page'!M38</f>
        <v>0</v>
      </c>
      <c r="J7" s="350">
        <v>22</v>
      </c>
      <c r="K7" s="61" t="s">
        <v>67</v>
      </c>
      <c r="L7" s="245"/>
      <c r="M7" s="246"/>
      <c r="N7" s="261">
        <f t="shared" si="1"/>
        <v>-0.97390418451620442</v>
      </c>
      <c r="O7" s="257">
        <f t="shared" si="2"/>
        <v>-116626</v>
      </c>
      <c r="P7" s="260">
        <f>107851+11900</f>
        <v>119751</v>
      </c>
      <c r="Q7" s="51"/>
      <c r="R7" s="257">
        <f t="shared" si="3"/>
        <v>3125</v>
      </c>
      <c r="S7" s="260">
        <v>3125</v>
      </c>
      <c r="T7" s="260"/>
      <c r="U7" s="260"/>
      <c r="V7" s="260"/>
      <c r="W7" s="260"/>
      <c r="X7" s="260"/>
      <c r="Y7" s="260"/>
      <c r="Z7" s="260"/>
      <c r="AA7" s="260"/>
    </row>
    <row r="8" spans="1:27">
      <c r="A8" s="491" t="str">
        <f t="shared" ca="1" si="0"/>
        <v>UFB-3 Appropriations Summary</v>
      </c>
      <c r="B8" s="491">
        <f>ROW()</f>
        <v>8</v>
      </c>
      <c r="C8" s="491" t="str">
        <f>'Cover Page'!K6</f>
        <v>1402</v>
      </c>
      <c r="D8" s="491">
        <f>'Cover Page'!K4</f>
        <v>2019</v>
      </c>
      <c r="E8" s="491" t="s">
        <v>2031</v>
      </c>
      <c r="F8" s="491" t="s">
        <v>2114</v>
      </c>
      <c r="G8" s="491" t="s">
        <v>2117</v>
      </c>
      <c r="H8" s="505">
        <f>'Cover Page'!M38</f>
        <v>0</v>
      </c>
      <c r="J8" s="350">
        <v>23</v>
      </c>
      <c r="K8" s="61" t="s">
        <v>68</v>
      </c>
      <c r="L8" s="245"/>
      <c r="M8" s="246"/>
      <c r="N8" s="261">
        <f t="shared" si="1"/>
        <v>0.13850415512465375</v>
      </c>
      <c r="O8" s="257">
        <f t="shared" si="2"/>
        <v>50000</v>
      </c>
      <c r="P8" s="260">
        <f>90000+40000+210000+10500+10500</f>
        <v>361000</v>
      </c>
      <c r="Q8" s="51"/>
      <c r="R8" s="257">
        <f t="shared" si="3"/>
        <v>411000</v>
      </c>
      <c r="S8" s="260">
        <f>94000+40000+256000</f>
        <v>390000</v>
      </c>
      <c r="T8" s="260"/>
      <c r="U8" s="260"/>
      <c r="V8" s="260">
        <v>10500</v>
      </c>
      <c r="W8" s="260">
        <v>10500</v>
      </c>
      <c r="X8" s="260"/>
      <c r="Y8" s="260"/>
      <c r="Z8" s="260"/>
      <c r="AA8" s="260"/>
    </row>
    <row r="9" spans="1:27">
      <c r="A9" s="491" t="str">
        <f t="shared" ca="1" si="0"/>
        <v>UFB-3 Appropriations Summary</v>
      </c>
      <c r="B9" s="491">
        <f>ROW()</f>
        <v>9</v>
      </c>
      <c r="C9" s="491" t="str">
        <f>'Cover Page'!K6</f>
        <v>1402</v>
      </c>
      <c r="D9" s="491">
        <f>'Cover Page'!K4</f>
        <v>2019</v>
      </c>
      <c r="E9" s="491" t="s">
        <v>2031</v>
      </c>
      <c r="F9" s="491" t="s">
        <v>2114</v>
      </c>
      <c r="G9" s="491" t="s">
        <v>2118</v>
      </c>
      <c r="H9" s="505">
        <f>'Cover Page'!M38</f>
        <v>0</v>
      </c>
      <c r="J9" s="350">
        <v>25</v>
      </c>
      <c r="K9" s="63" t="s">
        <v>69</v>
      </c>
      <c r="L9" s="247">
        <v>15.63</v>
      </c>
      <c r="M9" s="248">
        <v>0.95</v>
      </c>
      <c r="N9" s="261">
        <f t="shared" si="1"/>
        <v>1.3007314405863503E-2</v>
      </c>
      <c r="O9" s="257">
        <f t="shared" si="2"/>
        <v>25513.389999999898</v>
      </c>
      <c r="P9" s="260">
        <f>53047+1629725+115650+15000+27000+5582+1825+3334+3000+100000+257.36+1544.49+5500</f>
        <v>1961464.85</v>
      </c>
      <c r="Q9" s="51"/>
      <c r="R9" s="257">
        <f t="shared" si="3"/>
        <v>1986978.24</v>
      </c>
      <c r="S9" s="409">
        <f>52912+1649983.64+129100+29540+5646+2325+3806+3000+100000</f>
        <v>1976312.64</v>
      </c>
      <c r="T9" s="409">
        <f>219.7+1682.98+8762.92</f>
        <v>10665.6</v>
      </c>
      <c r="U9" s="409"/>
      <c r="V9" s="409"/>
      <c r="W9" s="409"/>
      <c r="X9" s="409"/>
      <c r="Y9" s="409"/>
      <c r="Z9" s="409"/>
      <c r="AA9" s="409"/>
    </row>
    <row r="10" spans="1:27">
      <c r="A10" s="491" t="str">
        <f ca="1">MID(CELL("filename",A10),FIND("]",CELL("filename",A10))+1,256)</f>
        <v>UFB-3 Appropriations Summary</v>
      </c>
      <c r="B10" s="491">
        <f>ROW()</f>
        <v>10</v>
      </c>
      <c r="C10" s="491" t="str">
        <f>'Cover Page'!K6</f>
        <v>1402</v>
      </c>
      <c r="D10" s="491">
        <f>'Cover Page'!K4</f>
        <v>2019</v>
      </c>
      <c r="E10" s="491" t="s">
        <v>2031</v>
      </c>
      <c r="F10" s="491" t="s">
        <v>2114</v>
      </c>
      <c r="G10" s="491" t="s">
        <v>2119</v>
      </c>
      <c r="H10" s="505">
        <f>'Cover Page'!M38</f>
        <v>0</v>
      </c>
      <c r="J10" s="350">
        <v>26</v>
      </c>
      <c r="K10" s="63" t="s">
        <v>70</v>
      </c>
      <c r="L10" s="247">
        <v>2.2000000000000002</v>
      </c>
      <c r="M10" s="248">
        <v>3</v>
      </c>
      <c r="N10" s="261">
        <f t="shared" si="1"/>
        <v>0.17906670858820414</v>
      </c>
      <c r="O10" s="257">
        <f t="shared" si="2"/>
        <v>175865.08000000007</v>
      </c>
      <c r="P10" s="260">
        <f>54033+48000+9151+130000+355000+56000+8583+104250+1656+33000+12248.28+20000+2000+33758+23566+21987.5+13668.5+55219.19</f>
        <v>982120.47</v>
      </c>
      <c r="Q10" s="51"/>
      <c r="R10" s="257">
        <f t="shared" si="3"/>
        <v>1157985.55</v>
      </c>
      <c r="S10" s="409">
        <f>75203+43000+24900+147000+470000+63600+8755+106350+1689+33000</f>
        <v>973497</v>
      </c>
      <c r="T10" s="409">
        <v>11709.95</v>
      </c>
      <c r="U10" s="409">
        <f>7884+31503.47+54023.13</f>
        <v>93410.6</v>
      </c>
      <c r="V10" s="409">
        <f>421090-376180</f>
        <v>44910</v>
      </c>
      <c r="W10" s="409">
        <f>260279.95-225818.95-3</f>
        <v>34458</v>
      </c>
      <c r="X10" s="409"/>
      <c r="Y10" s="409"/>
      <c r="Z10" s="409"/>
      <c r="AA10" s="409"/>
    </row>
    <row r="11" spans="1:27">
      <c r="A11" s="491" t="str">
        <f ca="1">MID(CELL("filename",A11),FIND("]",CELL("filename",A11))+1,256)</f>
        <v>UFB-3 Appropriations Summary</v>
      </c>
      <c r="B11" s="491">
        <f>ROW()</f>
        <v>11</v>
      </c>
      <c r="C11" s="491" t="str">
        <f>'Cover Page'!K6</f>
        <v>1402</v>
      </c>
      <c r="D11" s="491">
        <f>'Cover Page'!K4</f>
        <v>2019</v>
      </c>
      <c r="E11" s="491" t="s">
        <v>2031</v>
      </c>
      <c r="F11" s="491" t="s">
        <v>2114</v>
      </c>
      <c r="G11" s="491" t="s">
        <v>2120</v>
      </c>
      <c r="H11" s="505">
        <f>'Cover Page'!M38</f>
        <v>0</v>
      </c>
      <c r="J11" s="350">
        <v>27</v>
      </c>
      <c r="K11" s="63" t="s">
        <v>71</v>
      </c>
      <c r="L11" s="247">
        <v>0.08</v>
      </c>
      <c r="M11" s="248">
        <v>1</v>
      </c>
      <c r="N11" s="261">
        <f t="shared" si="1"/>
        <v>-2.1750041827003512E-2</v>
      </c>
      <c r="O11" s="257">
        <f t="shared" si="2"/>
        <v>-1300</v>
      </c>
      <c r="P11" s="260">
        <f>18770+6725+18500+775+15000</f>
        <v>59770</v>
      </c>
      <c r="Q11" s="51"/>
      <c r="R11" s="257">
        <f t="shared" si="3"/>
        <v>58470</v>
      </c>
      <c r="S11" s="409">
        <f>18845+4750+19100+775+15000</f>
        <v>58470</v>
      </c>
      <c r="T11" s="409"/>
      <c r="U11" s="409"/>
      <c r="V11" s="409"/>
      <c r="W11" s="409"/>
      <c r="X11" s="409"/>
      <c r="Y11" s="409"/>
      <c r="Z11" s="409"/>
      <c r="AA11" s="409"/>
    </row>
    <row r="12" spans="1:27">
      <c r="A12" s="491" t="str">
        <f ca="1">MID(CELL("filename",A12),FIND("]",CELL("filename",A12))+1,256)</f>
        <v>UFB-3 Appropriations Summary</v>
      </c>
      <c r="B12" s="491">
        <f>ROW()</f>
        <v>12</v>
      </c>
      <c r="C12" s="491" t="str">
        <f>'Cover Page'!K6</f>
        <v>1402</v>
      </c>
      <c r="D12" s="491">
        <f>'Cover Page'!K4</f>
        <v>2019</v>
      </c>
      <c r="E12" s="491" t="s">
        <v>2031</v>
      </c>
      <c r="F12" s="491" t="s">
        <v>2114</v>
      </c>
      <c r="G12" s="491" t="s">
        <v>2121</v>
      </c>
      <c r="H12" s="505">
        <f>'Cover Page'!M38</f>
        <v>0</v>
      </c>
      <c r="J12" s="350">
        <v>28</v>
      </c>
      <c r="K12" s="63" t="s">
        <v>72</v>
      </c>
      <c r="L12" s="247"/>
      <c r="M12" s="248">
        <v>1</v>
      </c>
      <c r="N12" s="261">
        <f t="shared" si="1"/>
        <v>-0.32377090385066526</v>
      </c>
      <c r="O12" s="257">
        <f t="shared" si="2"/>
        <v>-9661</v>
      </c>
      <c r="P12" s="260">
        <f>15570+1000+2000+8269+3000</f>
        <v>29839</v>
      </c>
      <c r="Q12" s="51"/>
      <c r="R12" s="257">
        <f t="shared" si="3"/>
        <v>20178</v>
      </c>
      <c r="S12" s="409">
        <f>17178+1000+2000</f>
        <v>20178</v>
      </c>
      <c r="T12" s="409"/>
      <c r="U12" s="409"/>
      <c r="V12" s="409"/>
      <c r="W12" s="409"/>
      <c r="X12" s="409"/>
      <c r="Y12" s="409"/>
      <c r="Z12" s="409"/>
      <c r="AA12" s="409"/>
    </row>
    <row r="13" spans="1:27">
      <c r="A13" s="491" t="str">
        <f ca="1">MID(CELL("filename",A13),FIND("]",CELL("filename",A13))+1,256)</f>
        <v>UFB-3 Appropriations Summary</v>
      </c>
      <c r="B13" s="491">
        <f>ROW()</f>
        <v>13</v>
      </c>
      <c r="C13" s="491" t="str">
        <f>'Cover Page'!K6</f>
        <v>1402</v>
      </c>
      <c r="D13" s="491">
        <f>'Cover Page'!K4</f>
        <v>2019</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1402</v>
      </c>
      <c r="D14" s="491">
        <f>'Cover Page'!K4</f>
        <v>2019</v>
      </c>
      <c r="E14" s="491" t="s">
        <v>2031</v>
      </c>
      <c r="F14" s="491" t="s">
        <v>2114</v>
      </c>
      <c r="G14" s="491" t="s">
        <v>2123</v>
      </c>
      <c r="H14" s="505">
        <f>'Cover Page'!M38</f>
        <v>0</v>
      </c>
      <c r="J14" s="350">
        <v>30</v>
      </c>
      <c r="K14" s="63" t="s">
        <v>74</v>
      </c>
      <c r="L14" s="247"/>
      <c r="M14" s="248"/>
      <c r="N14" s="261">
        <f t="shared" si="1"/>
        <v>0</v>
      </c>
      <c r="O14" s="257">
        <f t="shared" si="2"/>
        <v>0</v>
      </c>
      <c r="P14" s="260">
        <v>10000</v>
      </c>
      <c r="Q14" s="51"/>
      <c r="R14" s="257">
        <f t="shared" si="3"/>
        <v>10000</v>
      </c>
      <c r="S14" s="409">
        <v>10000</v>
      </c>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2019</v>
      </c>
      <c r="E15" s="491" t="s">
        <v>2031</v>
      </c>
      <c r="F15" s="491" t="s">
        <v>2114</v>
      </c>
      <c r="G15" s="491" t="s">
        <v>2123</v>
      </c>
      <c r="H15" s="505">
        <f>'Cover Page'!M39</f>
        <v>0</v>
      </c>
      <c r="J15" s="350">
        <v>31</v>
      </c>
      <c r="K15" s="63" t="s">
        <v>75</v>
      </c>
      <c r="L15" s="247"/>
      <c r="M15" s="248"/>
      <c r="N15" s="261">
        <f t="shared" si="1"/>
        <v>-1.1061946902654867E-2</v>
      </c>
      <c r="O15" s="257">
        <f t="shared" ref="O15" si="4">(R15-P15)</f>
        <v>-5000</v>
      </c>
      <c r="P15" s="260">
        <f>15000+21000+2000+8000+7000+500+41000+260500+97000</f>
        <v>452000</v>
      </c>
      <c r="Q15" s="51"/>
      <c r="R15" s="257">
        <f t="shared" si="3"/>
        <v>447000</v>
      </c>
      <c r="S15" s="409">
        <f>15000+19000+2000+7000+6000+500+40000</f>
        <v>89500</v>
      </c>
      <c r="T15" s="409"/>
      <c r="U15" s="409"/>
      <c r="V15" s="409">
        <v>260500</v>
      </c>
      <c r="W15" s="409">
        <v>97000</v>
      </c>
      <c r="X15" s="409"/>
      <c r="Y15" s="409"/>
      <c r="Z15" s="409"/>
      <c r="AA15" s="409"/>
    </row>
    <row r="16" spans="1:27">
      <c r="A16" s="491" t="str">
        <f t="shared" ca="1" si="0"/>
        <v>UFB-3 Appropriations Summary</v>
      </c>
      <c r="B16" s="491">
        <f>ROW()</f>
        <v>16</v>
      </c>
      <c r="C16" s="491" t="str">
        <f>'Cover Page'!K6</f>
        <v>1402</v>
      </c>
      <c r="D16" s="491">
        <f>'Cover Page'!K4</f>
        <v>2019</v>
      </c>
      <c r="E16" s="491" t="s">
        <v>2031</v>
      </c>
      <c r="F16" s="491" t="s">
        <v>2114</v>
      </c>
      <c r="G16" s="491" t="s">
        <v>2124</v>
      </c>
      <c r="H16" s="505">
        <f>'Cover Page'!M38</f>
        <v>0</v>
      </c>
      <c r="J16" s="350">
        <v>32</v>
      </c>
      <c r="K16" s="556" t="s">
        <v>2283</v>
      </c>
      <c r="L16" s="247"/>
      <c r="M16" s="248"/>
      <c r="N16" s="261" t="e">
        <f t="shared" si="1"/>
        <v>#DIV/0!</v>
      </c>
      <c r="O16" s="257">
        <f t="shared" si="2"/>
        <v>0</v>
      </c>
      <c r="P16" s="260"/>
      <c r="Q16" s="51"/>
      <c r="R16" s="257">
        <f t="shared" si="3"/>
        <v>0</v>
      </c>
      <c r="S16" s="409"/>
      <c r="T16" s="409"/>
      <c r="U16" s="409"/>
      <c r="V16" s="409"/>
      <c r="W16" s="409"/>
      <c r="X16" s="409"/>
      <c r="Y16" s="409"/>
      <c r="Z16" s="409"/>
      <c r="AA16" s="409"/>
    </row>
    <row r="17" spans="1:27">
      <c r="A17" s="491" t="str">
        <f t="shared" ca="1" si="0"/>
        <v>UFB-3 Appropriations Summary</v>
      </c>
      <c r="B17" s="491">
        <f>ROW()</f>
        <v>17</v>
      </c>
      <c r="C17" s="491" t="str">
        <f>'Cover Page'!K6</f>
        <v>1402</v>
      </c>
      <c r="D17" s="491">
        <f>'Cover Page'!K4</f>
        <v>2019</v>
      </c>
      <c r="E17" s="491" t="s">
        <v>2031</v>
      </c>
      <c r="F17" s="491" t="s">
        <v>2114</v>
      </c>
      <c r="G17" s="491" t="s">
        <v>2125</v>
      </c>
      <c r="H17" s="505">
        <f>'Cover Page'!M38</f>
        <v>0</v>
      </c>
      <c r="J17" s="350">
        <v>35</v>
      </c>
      <c r="K17" s="63" t="s">
        <v>76</v>
      </c>
      <c r="L17" s="247"/>
      <c r="M17" s="248"/>
      <c r="N17" s="261">
        <f t="shared" si="1"/>
        <v>0</v>
      </c>
      <c r="O17" s="257">
        <f t="shared" si="2"/>
        <v>0</v>
      </c>
      <c r="P17" s="260">
        <f>6000+35000+38000</f>
        <v>79000</v>
      </c>
      <c r="Q17" s="51"/>
      <c r="R17" s="257">
        <f t="shared" si="3"/>
        <v>79000</v>
      </c>
      <c r="S17" s="409">
        <v>6000</v>
      </c>
      <c r="T17" s="409"/>
      <c r="U17" s="409"/>
      <c r="V17" s="409">
        <v>35000</v>
      </c>
      <c r="W17" s="409">
        <v>38000</v>
      </c>
      <c r="X17" s="409"/>
      <c r="Y17" s="409"/>
      <c r="Z17" s="409"/>
      <c r="AA17" s="409"/>
    </row>
    <row r="18" spans="1:27">
      <c r="A18" s="491" t="str">
        <f t="shared" ca="1" si="0"/>
        <v>UFB-3 Appropriations Summary</v>
      </c>
      <c r="B18" s="491">
        <f>ROW()</f>
        <v>18</v>
      </c>
      <c r="C18" s="491" t="str">
        <f>'Cover Page'!K6</f>
        <v>1402</v>
      </c>
      <c r="D18" s="491">
        <f>'Cover Page'!K4</f>
        <v>2019</v>
      </c>
      <c r="E18" s="491" t="s">
        <v>2031</v>
      </c>
      <c r="F18" s="491" t="s">
        <v>2114</v>
      </c>
      <c r="G18" s="491" t="s">
        <v>2126</v>
      </c>
      <c r="H18" s="505">
        <f>'Cover Page'!M38</f>
        <v>0</v>
      </c>
      <c r="J18" s="350">
        <v>36</v>
      </c>
      <c r="K18" s="63" t="s">
        <v>77</v>
      </c>
      <c r="L18" s="247"/>
      <c r="M18" s="248"/>
      <c r="N18" s="261">
        <f t="shared" si="1"/>
        <v>0.1059356782088091</v>
      </c>
      <c r="O18" s="257">
        <f t="shared" si="2"/>
        <v>59294</v>
      </c>
      <c r="P18" s="260">
        <f>549017+5500+5200</f>
        <v>559717</v>
      </c>
      <c r="Q18" s="51"/>
      <c r="R18" s="257">
        <f t="shared" si="3"/>
        <v>619011</v>
      </c>
      <c r="S18" s="409">
        <f>607411</f>
        <v>607411</v>
      </c>
      <c r="T18" s="409"/>
      <c r="U18" s="409"/>
      <c r="V18" s="409">
        <v>6000</v>
      </c>
      <c r="W18" s="409">
        <v>5600</v>
      </c>
      <c r="X18" s="409"/>
      <c r="Y18" s="409"/>
      <c r="Z18" s="409"/>
      <c r="AA18" s="409"/>
    </row>
    <row r="19" spans="1:27">
      <c r="A19" s="491" t="str">
        <f t="shared" ca="1" si="0"/>
        <v>UFB-3 Appropriations Summary</v>
      </c>
      <c r="B19" s="491">
        <f>ROW()</f>
        <v>19</v>
      </c>
      <c r="C19" s="491" t="str">
        <f>'Cover Page'!K6</f>
        <v>1402</v>
      </c>
      <c r="D19" s="491">
        <f>'Cover Page'!K4</f>
        <v>2019</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1402</v>
      </c>
      <c r="D20" s="491">
        <f>'Cover Page'!K4</f>
        <v>2019</v>
      </c>
      <c r="E20" s="491" t="s">
        <v>2031</v>
      </c>
      <c r="F20" s="491" t="s">
        <v>2114</v>
      </c>
      <c r="G20" s="491" t="s">
        <v>2128</v>
      </c>
      <c r="H20" s="505">
        <f>'Cover Page'!M38</f>
        <v>0</v>
      </c>
      <c r="J20" s="350">
        <v>42</v>
      </c>
      <c r="K20" s="64" t="s">
        <v>79</v>
      </c>
      <c r="L20" s="247"/>
      <c r="M20" s="248"/>
      <c r="N20" s="261" t="e">
        <f t="shared" si="1"/>
        <v>#DIV/0!</v>
      </c>
      <c r="O20" s="257">
        <f t="shared" si="2"/>
        <v>0</v>
      </c>
      <c r="P20" s="260"/>
      <c r="Q20" s="51"/>
      <c r="R20" s="257">
        <f t="shared" si="3"/>
        <v>0</v>
      </c>
      <c r="S20" s="410"/>
      <c r="T20" s="410"/>
      <c r="U20" s="410"/>
      <c r="V20" s="410"/>
      <c r="W20" s="410"/>
      <c r="X20" s="410"/>
      <c r="Y20" s="410"/>
      <c r="Z20" s="410"/>
      <c r="AA20" s="410"/>
    </row>
    <row r="21" spans="1:27">
      <c r="A21" s="491" t="str">
        <f t="shared" ca="1" si="0"/>
        <v>UFB-3 Appropriations Summary</v>
      </c>
      <c r="B21" s="491">
        <f>ROW()</f>
        <v>21</v>
      </c>
      <c r="C21" s="491" t="str">
        <f>'Cover Page'!K6</f>
        <v>1402</v>
      </c>
      <c r="D21" s="491">
        <f>'Cover Page'!K4</f>
        <v>2019</v>
      </c>
      <c r="E21" s="491" t="s">
        <v>2031</v>
      </c>
      <c r="F21" s="491" t="s">
        <v>2114</v>
      </c>
      <c r="G21" s="491" t="s">
        <v>2129</v>
      </c>
      <c r="H21" s="505">
        <f>'Cover Page'!M38</f>
        <v>0</v>
      </c>
      <c r="J21" s="350">
        <v>43</v>
      </c>
      <c r="K21" s="64" t="s">
        <v>80</v>
      </c>
      <c r="L21" s="247"/>
      <c r="M21" s="248">
        <v>3</v>
      </c>
      <c r="N21" s="261">
        <f t="shared" si="1"/>
        <v>1.2767044003744999E-2</v>
      </c>
      <c r="O21" s="257">
        <f t="shared" si="2"/>
        <v>450</v>
      </c>
      <c r="P21" s="260">
        <f>26747+4500+4000</f>
        <v>35247</v>
      </c>
      <c r="Q21" s="51"/>
      <c r="R21" s="257">
        <f t="shared" si="3"/>
        <v>35697</v>
      </c>
      <c r="S21" s="410">
        <f>27197+4500+4000</f>
        <v>35697</v>
      </c>
      <c r="T21" s="410"/>
      <c r="U21" s="410"/>
      <c r="V21" s="410"/>
      <c r="W21" s="410"/>
      <c r="X21" s="410"/>
      <c r="Y21" s="410"/>
      <c r="Z21" s="410"/>
      <c r="AA21" s="410"/>
    </row>
    <row r="22" spans="1:27">
      <c r="A22" s="491" t="str">
        <f t="shared" ca="1" si="0"/>
        <v>UFB-3 Appropriations Summary</v>
      </c>
      <c r="B22" s="491">
        <f>ROW()</f>
        <v>22</v>
      </c>
      <c r="C22" s="491" t="str">
        <f>'Cover Page'!K6</f>
        <v>1402</v>
      </c>
      <c r="D22" s="491">
        <f>'Cover Page'!K4</f>
        <v>2019</v>
      </c>
      <c r="E22" s="491" t="s">
        <v>2031</v>
      </c>
      <c r="F22" s="491" t="s">
        <v>2114</v>
      </c>
      <c r="G22" s="491" t="s">
        <v>2130</v>
      </c>
      <c r="H22" s="505">
        <f>'Cover Page'!M38</f>
        <v>0</v>
      </c>
      <c r="J22" s="350">
        <v>44</v>
      </c>
      <c r="K22" s="64" t="s">
        <v>81</v>
      </c>
      <c r="L22" s="247"/>
      <c r="M22" s="248"/>
      <c r="N22" s="261">
        <f t="shared" si="1"/>
        <v>-0.76540755467196819</v>
      </c>
      <c r="O22" s="257">
        <f t="shared" si="2"/>
        <v>-385000</v>
      </c>
      <c r="P22" s="260">
        <f>200000+285000+18000</f>
        <v>503000</v>
      </c>
      <c r="Q22" s="51"/>
      <c r="R22" s="257">
        <f t="shared" si="3"/>
        <v>118000</v>
      </c>
      <c r="S22" s="410">
        <v>100000</v>
      </c>
      <c r="T22" s="410"/>
      <c r="U22" s="410"/>
      <c r="V22" s="410">
        <v>10000</v>
      </c>
      <c r="W22" s="410">
        <v>8000</v>
      </c>
      <c r="X22" s="410"/>
      <c r="Y22" s="410"/>
      <c r="Z22" s="410"/>
      <c r="AA22" s="410"/>
    </row>
    <row r="23" spans="1:27">
      <c r="A23" s="491" t="str">
        <f t="shared" ca="1" si="0"/>
        <v>UFB-3 Appropriations Summary</v>
      </c>
      <c r="B23" s="491">
        <f>ROW()</f>
        <v>23</v>
      </c>
      <c r="C23" s="491" t="str">
        <f>'Cover Page'!K6</f>
        <v>1402</v>
      </c>
      <c r="D23" s="491">
        <f>'Cover Page'!K4</f>
        <v>2019</v>
      </c>
      <c r="E23" s="491" t="s">
        <v>2031</v>
      </c>
      <c r="F23" s="491" t="s">
        <v>2114</v>
      </c>
      <c r="G23" s="491" t="s">
        <v>2131</v>
      </c>
      <c r="H23" s="505">
        <f>'Cover Page'!M38</f>
        <v>0</v>
      </c>
      <c r="J23" s="350">
        <v>45</v>
      </c>
      <c r="K23" s="64" t="s">
        <v>82</v>
      </c>
      <c r="L23" s="247"/>
      <c r="M23" s="248"/>
      <c r="N23" s="261">
        <f t="shared" si="1"/>
        <v>2.0911110968807833E-2</v>
      </c>
      <c r="O23" s="257">
        <f t="shared" si="2"/>
        <v>16327.5</v>
      </c>
      <c r="P23" s="260">
        <f>598445+9700+1300+158000+13360</f>
        <v>780805</v>
      </c>
      <c r="Q23" s="51"/>
      <c r="R23" s="257">
        <f t="shared" si="3"/>
        <v>797132.5</v>
      </c>
      <c r="S23" s="410">
        <v>617860</v>
      </c>
      <c r="T23" s="410"/>
      <c r="U23" s="410">
        <f>161000+8172.5</f>
        <v>169172.5</v>
      </c>
      <c r="V23" s="410">
        <v>9400</v>
      </c>
      <c r="W23" s="410">
        <v>700</v>
      </c>
      <c r="X23" s="410"/>
      <c r="Y23" s="410"/>
      <c r="Z23" s="410"/>
      <c r="AA23" s="410"/>
    </row>
    <row r="24" spans="1:27">
      <c r="A24" s="491" t="str">
        <f t="shared" ca="1" si="0"/>
        <v>UFB-3 Appropriations Summary</v>
      </c>
      <c r="B24" s="491">
        <f>ROW()</f>
        <v>24</v>
      </c>
      <c r="C24" s="491" t="str">
        <f>'Cover Page'!K6</f>
        <v>1402</v>
      </c>
      <c r="D24" s="491">
        <f>'Cover Page'!K4</f>
        <v>2019</v>
      </c>
      <c r="E24" s="491" t="s">
        <v>2031</v>
      </c>
      <c r="F24" s="491" t="s">
        <v>2114</v>
      </c>
      <c r="G24" s="491" t="s">
        <v>2132</v>
      </c>
      <c r="H24" s="505">
        <f>'Cover Page'!M38</f>
        <v>0</v>
      </c>
      <c r="J24" s="350">
        <v>46</v>
      </c>
      <c r="K24" s="64" t="s">
        <v>83</v>
      </c>
      <c r="L24" s="247"/>
      <c r="M24" s="248"/>
      <c r="N24" s="261">
        <f t="shared" si="1"/>
        <v>0.47778842450593251</v>
      </c>
      <c r="O24" s="257">
        <f t="shared" si="2"/>
        <v>4118.67</v>
      </c>
      <c r="P24" s="260">
        <v>8620.2800000000007</v>
      </c>
      <c r="Q24" s="51"/>
      <c r="R24" s="257">
        <f t="shared" si="3"/>
        <v>12738.95</v>
      </c>
      <c r="S24" s="410">
        <v>7000</v>
      </c>
      <c r="T24" s="410"/>
      <c r="U24" s="410"/>
      <c r="V24" s="410"/>
      <c r="W24" s="410">
        <v>5738.95</v>
      </c>
      <c r="X24" s="410"/>
      <c r="Y24" s="410"/>
      <c r="Z24" s="410"/>
      <c r="AA24" s="410"/>
    </row>
    <row r="25" spans="1:27">
      <c r="A25" s="491" t="str">
        <f t="shared" ca="1" si="0"/>
        <v>UFB-3 Appropriations Summary</v>
      </c>
      <c r="B25" s="491">
        <f>ROW()</f>
        <v>25</v>
      </c>
      <c r="C25" s="491" t="str">
        <f>'Cover Page'!K6</f>
        <v>1402</v>
      </c>
      <c r="D25" s="491">
        <f>'Cover Page'!K4</f>
        <v>2019</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1402</v>
      </c>
      <c r="D26" s="491">
        <f>'Cover Page'!K4</f>
        <v>2019</v>
      </c>
      <c r="E26" s="491" t="s">
        <v>2031</v>
      </c>
      <c r="F26" s="491" t="s">
        <v>2114</v>
      </c>
      <c r="G26" s="491" t="s">
        <v>2096</v>
      </c>
      <c r="H26" s="505">
        <f>'Cover Page'!M38</f>
        <v>0</v>
      </c>
      <c r="J26" s="351">
        <v>50</v>
      </c>
      <c r="K26" s="64" t="s">
        <v>85</v>
      </c>
      <c r="L26" s="464"/>
      <c r="M26" s="465"/>
      <c r="N26" s="466">
        <f t="shared" si="1"/>
        <v>2.4406556918955852E-2</v>
      </c>
      <c r="O26" s="461">
        <f t="shared" si="2"/>
        <v>14442.859999999986</v>
      </c>
      <c r="P26" s="459">
        <v>591761.47</v>
      </c>
      <c r="Q26" s="460"/>
      <c r="R26" s="461">
        <f t="shared" si="3"/>
        <v>606204.32999999996</v>
      </c>
      <c r="S26" s="457">
        <v>606204.32999999996</v>
      </c>
      <c r="T26" s="457"/>
      <c r="U26" s="457"/>
      <c r="V26" s="457"/>
      <c r="W26" s="457"/>
      <c r="X26" s="457"/>
      <c r="Y26" s="457"/>
      <c r="Z26" s="457"/>
      <c r="AA26" s="457"/>
    </row>
    <row r="27" spans="1:27" ht="16.5" thickBot="1">
      <c r="A27" s="491" t="str">
        <f t="shared" ca="1" si="0"/>
        <v>UFB-3 Appropriations Summary</v>
      </c>
      <c r="B27" s="491">
        <f>ROW()</f>
        <v>27</v>
      </c>
      <c r="C27" s="491" t="str">
        <f>'Cover Page'!K6</f>
        <v>1402</v>
      </c>
      <c r="D27" s="491">
        <f>'Cover Page'!K4</f>
        <v>2019</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1402</v>
      </c>
      <c r="D28" s="491">
        <f>'Cover Page'!K4</f>
        <v>2019</v>
      </c>
      <c r="E28" s="491" t="s">
        <v>2031</v>
      </c>
      <c r="F28" s="491" t="s">
        <v>2114</v>
      </c>
      <c r="G28" s="491" t="s">
        <v>2135</v>
      </c>
      <c r="H28" s="505">
        <f>'Cover Page'!M38</f>
        <v>0</v>
      </c>
      <c r="J28" s="352"/>
      <c r="K28" s="65" t="s">
        <v>97</v>
      </c>
      <c r="L28" s="249">
        <f>SUM(L5:L27)</f>
        <v>20.999999999999996</v>
      </c>
      <c r="M28" s="250">
        <f>SUM(M5:M27)</f>
        <v>13</v>
      </c>
      <c r="N28" s="254">
        <f t="shared" si="1"/>
        <v>-2.2159160421277999E-2</v>
      </c>
      <c r="O28" s="259">
        <f t="shared" si="2"/>
        <v>-159620.5</v>
      </c>
      <c r="P28" s="259">
        <f>SUM(P5:P27)</f>
        <v>7203364.0700000003</v>
      </c>
      <c r="Q28" s="52"/>
      <c r="R28" s="259">
        <f>SUM(R5:R27)</f>
        <v>7043743.5700000003</v>
      </c>
      <c r="S28" s="259">
        <f t="shared" ref="S28:AA28" si="5">SUM(S5:S27)</f>
        <v>6074417.9699999997</v>
      </c>
      <c r="T28" s="259">
        <f t="shared" si="5"/>
        <v>25375.550000000003</v>
      </c>
      <c r="U28" s="259">
        <f t="shared" si="5"/>
        <v>262583.09999999998</v>
      </c>
      <c r="V28" s="259">
        <f t="shared" si="5"/>
        <v>421090</v>
      </c>
      <c r="W28" s="259">
        <f t="shared" si="5"/>
        <v>260276.95</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699" t="s">
        <v>86</v>
      </c>
      <c r="L29" s="699"/>
      <c r="M29" s="699"/>
      <c r="N29" s="699"/>
      <c r="O29" s="699"/>
      <c r="P29" s="699"/>
      <c r="Q29" s="699"/>
      <c r="R29" s="699"/>
      <c r="S29" s="699"/>
      <c r="T29" s="699"/>
      <c r="U29" s="699"/>
      <c r="V29" s="699"/>
      <c r="W29" s="699"/>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algorithmName="SHA-512" hashValue="U26EfVi+hF3DO28iOaUR9bhOgflWkbbyqFZnocWKRedsg4al2FniEXykA3INuuVD9Kp07wT3dCXWc7TBN0jUfw==" saltValue="7Ylk4RJidl9KFFv8lFodtg=="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8"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49"/>
  <sheetViews>
    <sheetView topLeftCell="J1" workbookViewId="0">
      <selection activeCell="J5" sqref="J5"/>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1402</v>
      </c>
      <c r="D1" s="491">
        <f>'Cover Page'!K4</f>
        <v>2019</v>
      </c>
      <c r="E1" s="491" t="s">
        <v>2031</v>
      </c>
      <c r="F1" s="491" t="s">
        <v>2137</v>
      </c>
      <c r="G1" s="491"/>
      <c r="H1" s="505">
        <f>'Cover Page'!M38</f>
        <v>0</v>
      </c>
      <c r="J1" s="686" t="s">
        <v>0</v>
      </c>
      <c r="K1" s="686"/>
      <c r="L1" s="686"/>
      <c r="M1" s="686"/>
      <c r="N1" s="686"/>
      <c r="O1" s="686"/>
      <c r="P1" s="686"/>
    </row>
    <row r="2" spans="1:16" s="68" customFormat="1" ht="19.5" thickBot="1">
      <c r="A2" s="491" t="str">
        <f ca="1">MID(CELL("filename",A2),FIND("]",CELL("filename",A2))+1,256)</f>
        <v>UFB-4 Structural Imbalances</v>
      </c>
      <c r="B2" s="491">
        <f>ROW()</f>
        <v>2</v>
      </c>
      <c r="C2" s="491" t="str">
        <f>'Cover Page'!K6</f>
        <v>1402</v>
      </c>
      <c r="D2" s="491">
        <f>'Cover Page'!K4</f>
        <v>2019</v>
      </c>
      <c r="E2" s="491" t="s">
        <v>2031</v>
      </c>
      <c r="F2" s="491" t="s">
        <v>2137</v>
      </c>
      <c r="G2" s="491" t="s">
        <v>121</v>
      </c>
      <c r="H2" s="505">
        <f>'Cover Page'!M38</f>
        <v>0</v>
      </c>
      <c r="J2" s="705" t="s">
        <v>87</v>
      </c>
      <c r="K2" s="705"/>
      <c r="L2" s="705"/>
      <c r="M2" s="705"/>
      <c r="N2" s="705"/>
      <c r="O2" s="705"/>
      <c r="P2" s="705"/>
    </row>
    <row r="3" spans="1:16" ht="162" thickTop="1" thickBot="1">
      <c r="A3" s="491" t="str">
        <f t="shared" ref="A3:A25" ca="1" si="0">MID(CELL("filename",A3),FIND("]",CELL("filename",A3))+1,256)</f>
        <v>UFB-4 Structural Imbalances</v>
      </c>
      <c r="B3" s="491">
        <f>ROW()</f>
        <v>3</v>
      </c>
      <c r="C3" s="491" t="str">
        <f>'Cover Page'!K6</f>
        <v>1402</v>
      </c>
      <c r="D3" s="491">
        <f>'Cover Page'!K4</f>
        <v>2019</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1402</v>
      </c>
      <c r="D4" s="491">
        <f>'Cover Page'!K4</f>
        <v>2019</v>
      </c>
      <c r="E4" s="491" t="s">
        <v>2031</v>
      </c>
      <c r="F4" s="491" t="s">
        <v>2137</v>
      </c>
      <c r="G4" s="491" t="s">
        <v>2138</v>
      </c>
      <c r="H4" s="505">
        <f>'Cover Page'!M38</f>
        <v>0</v>
      </c>
      <c r="J4" s="73"/>
      <c r="K4" s="74"/>
      <c r="L4" s="74"/>
      <c r="M4" s="74"/>
      <c r="N4" s="75" t="s">
        <v>2330</v>
      </c>
      <c r="O4" s="262"/>
      <c r="P4" s="651"/>
    </row>
    <row r="5" spans="1:16" ht="20.25">
      <c r="A5" s="491" t="str">
        <f t="shared" ca="1" si="0"/>
        <v>UFB-4 Structural Imbalances</v>
      </c>
      <c r="B5" s="491">
        <f>ROW()</f>
        <v>5</v>
      </c>
      <c r="C5" s="491" t="str">
        <f>'Cover Page'!K6</f>
        <v>1402</v>
      </c>
      <c r="D5" s="491">
        <f>'Cover Page'!K4</f>
        <v>2019</v>
      </c>
      <c r="E5" s="491" t="s">
        <v>2031</v>
      </c>
      <c r="F5" s="491" t="s">
        <v>2137</v>
      </c>
      <c r="G5" s="491" t="s">
        <v>2138</v>
      </c>
      <c r="H5" s="505">
        <f>'Cover Page'!M38</f>
        <v>0</v>
      </c>
      <c r="J5" s="76"/>
      <c r="K5" s="77"/>
      <c r="L5" s="77"/>
      <c r="M5" s="77"/>
      <c r="N5" s="78"/>
      <c r="O5" s="263"/>
      <c r="P5" s="652"/>
    </row>
    <row r="6" spans="1:16" ht="20.25">
      <c r="A6" s="491" t="str">
        <f t="shared" ca="1" si="0"/>
        <v>UFB-4 Structural Imbalances</v>
      </c>
      <c r="B6" s="491">
        <f>ROW()</f>
        <v>6</v>
      </c>
      <c r="C6" s="491" t="str">
        <f>'Cover Page'!K6</f>
        <v>1402</v>
      </c>
      <c r="D6" s="491">
        <f>'Cover Page'!K4</f>
        <v>2019</v>
      </c>
      <c r="E6" s="491" t="s">
        <v>2031</v>
      </c>
      <c r="F6" s="491" t="s">
        <v>2137</v>
      </c>
      <c r="G6" s="491" t="s">
        <v>2138</v>
      </c>
      <c r="H6" s="505">
        <f>'Cover Page'!M28</f>
        <v>43830</v>
      </c>
      <c r="J6" s="76"/>
      <c r="K6" s="77"/>
      <c r="L6" s="77"/>
      <c r="M6" s="77"/>
      <c r="N6" s="78"/>
      <c r="O6" s="263"/>
      <c r="P6" s="652"/>
    </row>
    <row r="7" spans="1:16" ht="20.25">
      <c r="A7" s="491" t="str">
        <f t="shared" ca="1" si="0"/>
        <v>UFB-4 Structural Imbalances</v>
      </c>
      <c r="B7" s="491">
        <f>ROW()</f>
        <v>7</v>
      </c>
      <c r="C7" s="491" t="str">
        <f>'Cover Page'!K6</f>
        <v>1402</v>
      </c>
      <c r="D7" s="491">
        <f>'Cover Page'!K4</f>
        <v>2019</v>
      </c>
      <c r="E7" s="491" t="s">
        <v>2031</v>
      </c>
      <c r="F7" s="491" t="s">
        <v>2137</v>
      </c>
      <c r="G7" s="491" t="s">
        <v>2138</v>
      </c>
      <c r="H7" s="505">
        <f>'Cover Page'!M28</f>
        <v>43830</v>
      </c>
      <c r="J7" s="76"/>
      <c r="K7" s="77"/>
      <c r="L7" s="77"/>
      <c r="M7" s="77"/>
      <c r="N7" s="78"/>
      <c r="O7" s="263"/>
      <c r="P7" s="652"/>
    </row>
    <row r="8" spans="1:16" ht="20.25">
      <c r="A8" s="491" t="str">
        <f t="shared" ca="1" si="0"/>
        <v>UFB-4 Structural Imbalances</v>
      </c>
      <c r="B8" s="491">
        <f>ROW()</f>
        <v>8</v>
      </c>
      <c r="C8" s="491" t="str">
        <f>'Cover Page'!K6</f>
        <v>1402</v>
      </c>
      <c r="D8" s="491">
        <f>'Cover Page'!K4</f>
        <v>2019</v>
      </c>
      <c r="E8" s="491" t="s">
        <v>2031</v>
      </c>
      <c r="F8" s="491" t="s">
        <v>2137</v>
      </c>
      <c r="G8" s="491" t="s">
        <v>2138</v>
      </c>
      <c r="H8" s="505">
        <f>'Cover Page'!M28</f>
        <v>43830</v>
      </c>
      <c r="J8" s="76"/>
      <c r="K8" s="77"/>
      <c r="L8" s="77"/>
      <c r="M8" s="77"/>
      <c r="N8" s="78"/>
      <c r="O8" s="263"/>
      <c r="P8" s="652"/>
    </row>
    <row r="9" spans="1:16" ht="20.25">
      <c r="A9" s="491" t="str">
        <f t="shared" ca="1" si="0"/>
        <v>UFB-4 Structural Imbalances</v>
      </c>
      <c r="B9" s="491">
        <f>ROW()</f>
        <v>9</v>
      </c>
      <c r="C9" s="491" t="str">
        <f>'Cover Page'!K6</f>
        <v>1402</v>
      </c>
      <c r="D9" s="491">
        <f>'Cover Page'!K4</f>
        <v>2019</v>
      </c>
      <c r="E9" s="491" t="s">
        <v>2031</v>
      </c>
      <c r="F9" s="491" t="s">
        <v>2137</v>
      </c>
      <c r="G9" s="491" t="s">
        <v>2138</v>
      </c>
      <c r="H9" s="505">
        <f>'Cover Page'!M28</f>
        <v>43830</v>
      </c>
      <c r="J9" s="76"/>
      <c r="K9" s="77"/>
      <c r="L9" s="77"/>
      <c r="M9" s="77"/>
      <c r="N9" s="78"/>
      <c r="O9" s="263"/>
      <c r="P9" s="652"/>
    </row>
    <row r="10" spans="1:16" ht="20.25">
      <c r="A10" s="491" t="str">
        <f ca="1">MID(CELL("filename",A10),FIND("]",CELL("filename",A10))+1,256)</f>
        <v>UFB-4 Structural Imbalances</v>
      </c>
      <c r="B10" s="491">
        <f>ROW()</f>
        <v>10</v>
      </c>
      <c r="C10" s="491" t="str">
        <f>'Cover Page'!K6</f>
        <v>1402</v>
      </c>
      <c r="D10" s="491">
        <f>'Cover Page'!K4</f>
        <v>2019</v>
      </c>
      <c r="E10" s="491" t="s">
        <v>2031</v>
      </c>
      <c r="F10" s="491" t="s">
        <v>2137</v>
      </c>
      <c r="G10" s="491" t="s">
        <v>2138</v>
      </c>
      <c r="H10" s="505">
        <f>'Cover Page'!M28</f>
        <v>43830</v>
      </c>
      <c r="J10" s="76"/>
      <c r="K10" s="77"/>
      <c r="L10" s="77"/>
      <c r="M10" s="77"/>
      <c r="N10" s="78"/>
      <c r="O10" s="263"/>
      <c r="P10" s="652"/>
    </row>
    <row r="11" spans="1:16" ht="20.25">
      <c r="A11" s="491" t="str">
        <f ca="1">MID(CELL("filename",A11),FIND("]",CELL("filename",A11))+1,256)</f>
        <v>UFB-4 Structural Imbalances</v>
      </c>
      <c r="B11" s="491">
        <f>ROW()</f>
        <v>11</v>
      </c>
      <c r="C11" s="491" t="str">
        <f>'Cover Page'!K6</f>
        <v>1402</v>
      </c>
      <c r="D11" s="491">
        <f>'Cover Page'!K4</f>
        <v>2019</v>
      </c>
      <c r="E11" s="491" t="s">
        <v>2031</v>
      </c>
      <c r="F11" s="491" t="s">
        <v>2137</v>
      </c>
      <c r="G11" s="491" t="s">
        <v>2138</v>
      </c>
      <c r="H11" s="505">
        <f>'Cover Page'!M28</f>
        <v>43830</v>
      </c>
      <c r="J11" s="76"/>
      <c r="K11" s="77"/>
      <c r="L11" s="77"/>
      <c r="M11" s="77"/>
      <c r="N11" s="78"/>
      <c r="O11" s="263"/>
      <c r="P11" s="652"/>
    </row>
    <row r="12" spans="1:16" ht="20.25">
      <c r="A12" s="491" t="str">
        <f ca="1">MID(CELL("filename",A12),FIND("]",CELL("filename",A12))+1,256)</f>
        <v>UFB-4 Structural Imbalances</v>
      </c>
      <c r="B12" s="491">
        <f>ROW()</f>
        <v>12</v>
      </c>
      <c r="C12" s="491" t="str">
        <f>'Cover Page'!K6</f>
        <v>1402</v>
      </c>
      <c r="D12" s="491">
        <f>'Cover Page'!K4</f>
        <v>2019</v>
      </c>
      <c r="E12" s="491" t="s">
        <v>2031</v>
      </c>
      <c r="F12" s="491" t="s">
        <v>2137</v>
      </c>
      <c r="G12" s="491" t="s">
        <v>2138</v>
      </c>
      <c r="H12" s="505">
        <f>'Cover Page'!M28</f>
        <v>43830</v>
      </c>
      <c r="J12" s="76"/>
      <c r="K12" s="77"/>
      <c r="L12" s="77"/>
      <c r="M12" s="77"/>
      <c r="N12" s="78"/>
      <c r="O12" s="263"/>
      <c r="P12" s="652"/>
    </row>
    <row r="13" spans="1:16" ht="20.25">
      <c r="A13" s="491" t="str">
        <f ca="1">MID(CELL("filename",A13),FIND("]",CELL("filename",A13))+1,256)</f>
        <v>UFB-4 Structural Imbalances</v>
      </c>
      <c r="B13" s="491">
        <f>ROW()</f>
        <v>13</v>
      </c>
      <c r="C13" s="491" t="str">
        <f>'Cover Page'!K6</f>
        <v>1402</v>
      </c>
      <c r="D13" s="491">
        <f>'Cover Page'!K4</f>
        <v>2019</v>
      </c>
      <c r="E13" s="491" t="s">
        <v>2031</v>
      </c>
      <c r="F13" s="491" t="s">
        <v>2137</v>
      </c>
      <c r="G13" s="491" t="s">
        <v>2138</v>
      </c>
      <c r="H13" s="505">
        <f>'Cover Page'!M28</f>
        <v>43830</v>
      </c>
      <c r="J13" s="76"/>
      <c r="K13" s="77"/>
      <c r="L13" s="77"/>
      <c r="M13" s="77"/>
      <c r="N13" s="78"/>
      <c r="O13" s="263"/>
      <c r="P13" s="652"/>
    </row>
    <row r="14" spans="1:16" ht="20.25">
      <c r="A14" s="491" t="str">
        <f t="shared" ca="1" si="0"/>
        <v>UFB-4 Structural Imbalances</v>
      </c>
      <c r="B14" s="491">
        <f>ROW()</f>
        <v>14</v>
      </c>
      <c r="C14" s="491" t="str">
        <f>'Cover Page'!K6</f>
        <v>1402</v>
      </c>
      <c r="D14" s="491">
        <f>'Cover Page'!K4</f>
        <v>2019</v>
      </c>
      <c r="E14" s="491" t="s">
        <v>2031</v>
      </c>
      <c r="F14" s="491" t="s">
        <v>2137</v>
      </c>
      <c r="G14" s="491" t="s">
        <v>2138</v>
      </c>
      <c r="H14" s="505">
        <f>'Cover Page'!M28</f>
        <v>43830</v>
      </c>
      <c r="J14" s="76"/>
      <c r="K14" s="77"/>
      <c r="L14" s="77"/>
      <c r="M14" s="77"/>
      <c r="N14" s="78"/>
      <c r="O14" s="263"/>
      <c r="P14" s="652"/>
    </row>
    <row r="15" spans="1:16" ht="20.25">
      <c r="A15" s="491" t="str">
        <f t="shared" ca="1" si="0"/>
        <v>UFB-4 Structural Imbalances</v>
      </c>
      <c r="B15" s="491">
        <f>ROW()</f>
        <v>15</v>
      </c>
      <c r="C15" s="491" t="str">
        <f>'Cover Page'!K6</f>
        <v>1402</v>
      </c>
      <c r="D15" s="491">
        <f>'Cover Page'!K4</f>
        <v>2019</v>
      </c>
      <c r="E15" s="491" t="s">
        <v>2031</v>
      </c>
      <c r="F15" s="491" t="s">
        <v>2137</v>
      </c>
      <c r="G15" s="491" t="s">
        <v>2138</v>
      </c>
      <c r="H15" s="505">
        <f>'Cover Page'!M28</f>
        <v>43830</v>
      </c>
      <c r="J15" s="76"/>
      <c r="K15" s="77"/>
      <c r="L15" s="77"/>
      <c r="M15" s="77"/>
      <c r="N15" s="78"/>
      <c r="O15" s="263"/>
      <c r="P15" s="652"/>
    </row>
    <row r="16" spans="1:16" ht="20.25">
      <c r="A16" s="491" t="str">
        <f t="shared" ca="1" si="0"/>
        <v>UFB-4 Structural Imbalances</v>
      </c>
      <c r="B16" s="491">
        <f>ROW()</f>
        <v>16</v>
      </c>
      <c r="C16" s="491" t="str">
        <f>'Cover Page'!K6</f>
        <v>1402</v>
      </c>
      <c r="D16" s="491">
        <f>'Cover Page'!K4</f>
        <v>2019</v>
      </c>
      <c r="E16" s="491" t="s">
        <v>2031</v>
      </c>
      <c r="F16" s="491" t="s">
        <v>2137</v>
      </c>
      <c r="G16" s="491" t="s">
        <v>2138</v>
      </c>
      <c r="H16" s="505">
        <f>'Cover Page'!M38</f>
        <v>0</v>
      </c>
      <c r="J16" s="76"/>
      <c r="K16" s="77"/>
      <c r="L16" s="77"/>
      <c r="M16" s="77"/>
      <c r="N16" s="78"/>
      <c r="O16" s="263"/>
      <c r="P16" s="652"/>
    </row>
    <row r="17" spans="1:16" ht="20.25">
      <c r="A17" s="491" t="str">
        <f t="shared" ca="1" si="0"/>
        <v>UFB-4 Structural Imbalances</v>
      </c>
      <c r="B17" s="491">
        <f>ROW()</f>
        <v>17</v>
      </c>
      <c r="C17" s="491" t="str">
        <f>'Cover Page'!K6</f>
        <v>1402</v>
      </c>
      <c r="D17" s="491">
        <f>'Cover Page'!K4</f>
        <v>2019</v>
      </c>
      <c r="E17" s="491" t="s">
        <v>2031</v>
      </c>
      <c r="F17" s="491" t="s">
        <v>2137</v>
      </c>
      <c r="G17" s="491" t="s">
        <v>2138</v>
      </c>
      <c r="H17" s="505">
        <f>'Cover Page'!M38</f>
        <v>0</v>
      </c>
      <c r="J17" s="76"/>
      <c r="K17" s="77"/>
      <c r="L17" s="77"/>
      <c r="M17" s="77"/>
      <c r="N17" s="78"/>
      <c r="O17" s="263"/>
      <c r="P17" s="652"/>
    </row>
    <row r="18" spans="1:16" ht="20.25">
      <c r="A18" s="491" t="str">
        <f t="shared" ca="1" si="0"/>
        <v>UFB-4 Structural Imbalances</v>
      </c>
      <c r="B18" s="491">
        <f>ROW()</f>
        <v>18</v>
      </c>
      <c r="C18" s="491" t="str">
        <f>'Cover Page'!K6</f>
        <v>1402</v>
      </c>
      <c r="D18" s="491">
        <f>'Cover Page'!K4</f>
        <v>2019</v>
      </c>
      <c r="E18" s="491" t="s">
        <v>2031</v>
      </c>
      <c r="F18" s="491" t="s">
        <v>2137</v>
      </c>
      <c r="G18" s="491" t="s">
        <v>2138</v>
      </c>
      <c r="H18" s="505">
        <f>'Cover Page'!M38</f>
        <v>0</v>
      </c>
      <c r="J18" s="76"/>
      <c r="K18" s="77"/>
      <c r="L18" s="77"/>
      <c r="M18" s="77"/>
      <c r="N18" s="78"/>
      <c r="O18" s="263"/>
      <c r="P18" s="652"/>
    </row>
    <row r="19" spans="1:16" ht="20.25">
      <c r="A19" s="491" t="str">
        <f t="shared" ca="1" si="0"/>
        <v>UFB-4 Structural Imbalances</v>
      </c>
      <c r="B19" s="491">
        <f>ROW()</f>
        <v>19</v>
      </c>
      <c r="C19" s="491" t="str">
        <f>'Cover Page'!K6</f>
        <v>1402</v>
      </c>
      <c r="D19" s="491">
        <f>'Cover Page'!K4</f>
        <v>2019</v>
      </c>
      <c r="E19" s="491" t="s">
        <v>2031</v>
      </c>
      <c r="F19" s="491" t="s">
        <v>2137</v>
      </c>
      <c r="G19" s="491" t="s">
        <v>2138</v>
      </c>
      <c r="H19" s="505">
        <f>'Cover Page'!M38</f>
        <v>0</v>
      </c>
      <c r="J19" s="76"/>
      <c r="K19" s="77"/>
      <c r="L19" s="77"/>
      <c r="M19" s="77"/>
      <c r="N19" s="78"/>
      <c r="O19" s="263"/>
      <c r="P19" s="652"/>
    </row>
    <row r="20" spans="1:16" ht="20.25">
      <c r="A20" s="491" t="str">
        <f ca="1">MID(CELL("filename",A20),FIND("]",CELL("filename",A20))+1,256)</f>
        <v>UFB-4 Structural Imbalances</v>
      </c>
      <c r="B20" s="491">
        <f>ROW()</f>
        <v>20</v>
      </c>
      <c r="C20" s="491" t="str">
        <f>'Cover Page'!K6</f>
        <v>1402</v>
      </c>
      <c r="D20" s="491">
        <f>'Cover Page'!K4</f>
        <v>2019</v>
      </c>
      <c r="E20" s="491" t="s">
        <v>2031</v>
      </c>
      <c r="F20" s="491" t="s">
        <v>2137</v>
      </c>
      <c r="G20" s="491" t="s">
        <v>2138</v>
      </c>
      <c r="H20" s="505">
        <f>'Cover Page'!M38</f>
        <v>0</v>
      </c>
      <c r="J20" s="76"/>
      <c r="K20" s="77"/>
      <c r="L20" s="77"/>
      <c r="M20" s="77"/>
      <c r="N20" s="78"/>
      <c r="O20" s="263"/>
      <c r="P20" s="652"/>
    </row>
    <row r="21" spans="1:16" ht="20.25">
      <c r="A21" s="491" t="str">
        <f ca="1">MID(CELL("filename",A21),FIND("]",CELL("filename",A21))+1,256)</f>
        <v>UFB-4 Structural Imbalances</v>
      </c>
      <c r="B21" s="491">
        <f>ROW()</f>
        <v>21</v>
      </c>
      <c r="C21" s="491" t="str">
        <f>'Cover Page'!K6</f>
        <v>1402</v>
      </c>
      <c r="D21" s="491">
        <f>'Cover Page'!K4</f>
        <v>2019</v>
      </c>
      <c r="E21" s="491" t="s">
        <v>2031</v>
      </c>
      <c r="F21" s="491" t="s">
        <v>2137</v>
      </c>
      <c r="G21" s="491" t="s">
        <v>2138</v>
      </c>
      <c r="H21" s="505">
        <f>'Cover Page'!M38</f>
        <v>0</v>
      </c>
      <c r="J21" s="76"/>
      <c r="K21" s="77"/>
      <c r="L21" s="77"/>
      <c r="M21" s="77"/>
      <c r="N21" s="78"/>
      <c r="O21" s="263"/>
      <c r="P21" s="652"/>
    </row>
    <row r="22" spans="1:16" ht="20.25">
      <c r="A22" s="491" t="str">
        <f ca="1">MID(CELL("filename",A22),FIND("]",CELL("filename",A22))+1,256)</f>
        <v>UFB-4 Structural Imbalances</v>
      </c>
      <c r="B22" s="491">
        <f>ROW()</f>
        <v>22</v>
      </c>
      <c r="C22" s="491" t="str">
        <f>'Cover Page'!K6</f>
        <v>1402</v>
      </c>
      <c r="D22" s="491">
        <f>'Cover Page'!K4</f>
        <v>2019</v>
      </c>
      <c r="E22" s="491" t="s">
        <v>2031</v>
      </c>
      <c r="F22" s="491" t="s">
        <v>2137</v>
      </c>
      <c r="G22" s="491" t="s">
        <v>2138</v>
      </c>
      <c r="H22" s="505">
        <f>'Cover Page'!M38</f>
        <v>0</v>
      </c>
      <c r="J22" s="76"/>
      <c r="K22" s="77"/>
      <c r="L22" s="77"/>
      <c r="M22" s="77"/>
      <c r="N22" s="78"/>
      <c r="O22" s="263"/>
      <c r="P22" s="652"/>
    </row>
    <row r="23" spans="1:16" ht="20.25">
      <c r="A23" s="491" t="str">
        <f ca="1">MID(CELL("filename",A23),FIND("]",CELL("filename",A23))+1,256)</f>
        <v>UFB-4 Structural Imbalances</v>
      </c>
      <c r="B23" s="491">
        <f>ROW()</f>
        <v>23</v>
      </c>
      <c r="C23" s="491" t="str">
        <f>'Cover Page'!K6</f>
        <v>1402</v>
      </c>
      <c r="D23" s="491">
        <f>'Cover Page'!K4</f>
        <v>2019</v>
      </c>
      <c r="E23" s="491" t="s">
        <v>2031</v>
      </c>
      <c r="F23" s="491" t="s">
        <v>2137</v>
      </c>
      <c r="G23" s="491" t="s">
        <v>2138</v>
      </c>
      <c r="H23" s="505">
        <f>'Cover Page'!M38</f>
        <v>0</v>
      </c>
      <c r="J23" s="76"/>
      <c r="K23" s="77"/>
      <c r="L23" s="77"/>
      <c r="M23" s="77"/>
      <c r="N23" s="78"/>
      <c r="O23" s="263"/>
      <c r="P23" s="652"/>
    </row>
    <row r="24" spans="1:16" ht="20.25">
      <c r="A24" s="491" t="str">
        <f t="shared" ca="1" si="0"/>
        <v>UFB-4 Structural Imbalances</v>
      </c>
      <c r="B24" s="491">
        <f>ROW()</f>
        <v>24</v>
      </c>
      <c r="C24" s="491" t="str">
        <f>'Cover Page'!K6</f>
        <v>1402</v>
      </c>
      <c r="D24" s="491">
        <f>'Cover Page'!K4</f>
        <v>2019</v>
      </c>
      <c r="E24" s="491" t="s">
        <v>2031</v>
      </c>
      <c r="F24" s="491" t="s">
        <v>2137</v>
      </c>
      <c r="G24" s="491" t="s">
        <v>2138</v>
      </c>
      <c r="H24" s="505">
        <f>'Cover Page'!M38</f>
        <v>0</v>
      </c>
      <c r="J24" s="76"/>
      <c r="K24" s="77"/>
      <c r="L24" s="77"/>
      <c r="M24" s="77"/>
      <c r="N24" s="78"/>
      <c r="O24" s="263"/>
      <c r="P24" s="652"/>
    </row>
    <row r="25" spans="1:16" ht="20.25">
      <c r="A25" s="491" t="str">
        <f t="shared" ca="1" si="0"/>
        <v>UFB-4 Structural Imbalances</v>
      </c>
      <c r="B25" s="491">
        <f>ROW()</f>
        <v>25</v>
      </c>
      <c r="C25" s="491" t="str">
        <f>'Cover Page'!K6</f>
        <v>1402</v>
      </c>
      <c r="D25" s="491">
        <f>'Cover Page'!K4</f>
        <v>2019</v>
      </c>
      <c r="E25" s="491" t="s">
        <v>2031</v>
      </c>
      <c r="F25" s="491" t="s">
        <v>2137</v>
      </c>
      <c r="G25" s="491" t="s">
        <v>2138</v>
      </c>
      <c r="H25" s="505">
        <f>'Cover Page'!M38</f>
        <v>0</v>
      </c>
      <c r="J25" s="76"/>
      <c r="K25" s="77"/>
      <c r="L25" s="77"/>
      <c r="M25" s="77"/>
      <c r="N25" s="78"/>
      <c r="O25" s="263"/>
      <c r="P25" s="652"/>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6" t="s">
        <v>94</v>
      </c>
      <c r="K27" s="706"/>
      <c r="L27" s="706"/>
      <c r="M27" s="706"/>
      <c r="N27" s="706"/>
      <c r="O27" s="706"/>
      <c r="P27" s="706"/>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algorithmName="SHA-512" hashValue="B9n2nGrEem9uw+R7WvxArHY+NxMbo4l++VuzhtxybMkHtP/bNLb8KP9sTMS9StCUi5gjSD0mJTQz5BwjLxHAYA==" saltValue="B1LPd4fmm5LJie1Q6lwgCg==" spinCount="100000"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6"/>
  <sheetViews>
    <sheetView topLeftCell="J1" workbookViewId="0">
      <selection activeCell="R18" sqref="R18"/>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1402</v>
      </c>
      <c r="D1" s="491">
        <f>'Cover Page'!K4</f>
        <v>2019</v>
      </c>
      <c r="E1" s="491" t="s">
        <v>2031</v>
      </c>
      <c r="F1" s="491" t="s">
        <v>2139</v>
      </c>
      <c r="G1" s="491" t="s">
        <v>121</v>
      </c>
      <c r="H1" s="505">
        <f ca="1">TODAY()</f>
        <v>43570</v>
      </c>
      <c r="J1" s="707" t="s">
        <v>2284</v>
      </c>
      <c r="K1" s="707"/>
      <c r="L1" s="707"/>
      <c r="M1" s="707"/>
      <c r="N1" s="707"/>
      <c r="O1" s="707"/>
      <c r="P1" s="707"/>
      <c r="Q1" s="707"/>
      <c r="R1" s="707"/>
      <c r="S1" s="707"/>
      <c r="T1" s="707"/>
      <c r="U1" s="707"/>
    </row>
    <row r="2" spans="1:21" ht="12.75" customHeight="1">
      <c r="A2" s="491" t="str">
        <f t="shared" ref="A2:A35" ca="1" si="0">MID(CELL("filename",A2),FIND("]",CELL("filename",A2))+1,256)</f>
        <v>UFB-5 Tax Assessments</v>
      </c>
      <c r="B2" s="491">
        <f>ROW()</f>
        <v>2</v>
      </c>
      <c r="C2" s="491" t="str">
        <f>'Cover Page'!K6</f>
        <v>1402</v>
      </c>
      <c r="D2" s="491">
        <f>'Cover Page'!K4</f>
        <v>2019</v>
      </c>
      <c r="E2" s="491" t="s">
        <v>2031</v>
      </c>
      <c r="F2" s="491" t="s">
        <v>2139</v>
      </c>
      <c r="G2" s="491" t="s">
        <v>121</v>
      </c>
      <c r="H2" s="505">
        <f ca="1">TODAY()</f>
        <v>43570</v>
      </c>
      <c r="J2" s="708" t="str">
        <f>"Property Tax Assessments - Taxable Properties (October 1, "&amp;'Cover Page'!K4-1&amp;" Value)"</f>
        <v>Property Tax Assessments - Taxable Properties (October 1, 2018 Value)</v>
      </c>
      <c r="K2" s="709"/>
      <c r="L2" s="709"/>
      <c r="M2" s="709"/>
      <c r="N2" s="709"/>
      <c r="O2" s="710"/>
      <c r="P2" s="6"/>
      <c r="Q2" s="711" t="str">
        <f>"Property Tax Assessments - Exempt Properties (October 1, "&amp;'Cover Page'!K4-1&amp;" Value)"</f>
        <v>Property Tax Assessments - Exempt Properties (October 1, 2018 Value)</v>
      </c>
      <c r="R2" s="712"/>
      <c r="S2" s="712"/>
      <c r="T2" s="712"/>
      <c r="U2" s="713"/>
    </row>
    <row r="3" spans="1:21" s="20" customFormat="1">
      <c r="A3" s="491" t="str">
        <f t="shared" ca="1" si="0"/>
        <v>UFB-5 Tax Assessments</v>
      </c>
      <c r="B3" s="491">
        <f>ROW()</f>
        <v>3</v>
      </c>
      <c r="C3" s="491" t="str">
        <f>'Cover Page'!K6</f>
        <v>1402</v>
      </c>
      <c r="D3" s="491">
        <f>'Cover Page'!K4</f>
        <v>2019</v>
      </c>
      <c r="E3" s="491" t="s">
        <v>2031</v>
      </c>
      <c r="F3" s="491" t="s">
        <v>2139</v>
      </c>
      <c r="G3" s="491" t="s">
        <v>121</v>
      </c>
      <c r="H3" s="505">
        <f t="shared" ref="H3:H15" ca="1" si="1">TODAY()</f>
        <v>43570</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1402</v>
      </c>
      <c r="D4" s="491">
        <f>'Cover Page'!K4</f>
        <v>2019</v>
      </c>
      <c r="E4" s="491" t="s">
        <v>2031</v>
      </c>
      <c r="F4" s="491" t="s">
        <v>2139</v>
      </c>
      <c r="G4" s="491" t="s">
        <v>2140</v>
      </c>
      <c r="H4" s="505">
        <f t="shared" ca="1" si="1"/>
        <v>43570</v>
      </c>
      <c r="J4" s="94">
        <v>1</v>
      </c>
      <c r="K4" s="21" t="s">
        <v>98</v>
      </c>
      <c r="L4" s="514">
        <v>103</v>
      </c>
      <c r="M4" s="515">
        <v>11181500</v>
      </c>
      <c r="N4" s="520">
        <f t="shared" ref="N4:N11" si="2">IF(M4&gt;0,M4/M$12,0)</f>
        <v>1.277481300205535E-2</v>
      </c>
      <c r="O4" s="519"/>
      <c r="P4" s="18"/>
      <c r="Q4" s="91" t="s">
        <v>99</v>
      </c>
      <c r="R4" s="21" t="s">
        <v>100</v>
      </c>
      <c r="S4" s="95">
        <v>1</v>
      </c>
      <c r="T4" s="264">
        <v>7984500</v>
      </c>
      <c r="U4" s="310">
        <f t="shared" ref="U4:U9" si="3">IF(T4&gt;0,T4/T$12,0)</f>
        <v>0.14698572943359547</v>
      </c>
    </row>
    <row r="5" spans="1:21" s="20" customFormat="1">
      <c r="A5" s="491" t="str">
        <f t="shared" ca="1" si="0"/>
        <v>UFB-5 Tax Assessments</v>
      </c>
      <c r="B5" s="491">
        <f>ROW()</f>
        <v>5</v>
      </c>
      <c r="C5" s="491" t="str">
        <f>'Cover Page'!K6</f>
        <v>1402</v>
      </c>
      <c r="D5" s="491">
        <f>'Cover Page'!K4</f>
        <v>2019</v>
      </c>
      <c r="E5" s="491" t="s">
        <v>2031</v>
      </c>
      <c r="F5" s="491" t="s">
        <v>2139</v>
      </c>
      <c r="G5" s="491" t="s">
        <v>2141</v>
      </c>
      <c r="H5" s="505">
        <f t="shared" ca="1" si="1"/>
        <v>43570</v>
      </c>
      <c r="J5" s="94">
        <v>2</v>
      </c>
      <c r="K5" s="14" t="s">
        <v>101</v>
      </c>
      <c r="L5" s="514">
        <v>1514</v>
      </c>
      <c r="M5" s="515">
        <v>800465700</v>
      </c>
      <c r="N5" s="520">
        <f t="shared" si="2"/>
        <v>0.91452842928581468</v>
      </c>
      <c r="O5" s="519"/>
      <c r="P5" s="18"/>
      <c r="Q5" s="94" t="s">
        <v>102</v>
      </c>
      <c r="R5" s="14" t="s">
        <v>103</v>
      </c>
      <c r="S5" s="95"/>
      <c r="T5" s="264"/>
      <c r="U5" s="310">
        <f t="shared" si="3"/>
        <v>0</v>
      </c>
    </row>
    <row r="6" spans="1:21" s="20" customFormat="1">
      <c r="A6" s="491" t="str">
        <f t="shared" ca="1" si="0"/>
        <v>UFB-5 Tax Assessments</v>
      </c>
      <c r="B6" s="491">
        <f>ROW()</f>
        <v>6</v>
      </c>
      <c r="C6" s="491" t="str">
        <f>'Cover Page'!K6</f>
        <v>1402</v>
      </c>
      <c r="D6" s="491">
        <f>'Cover Page'!K4</f>
        <v>2019</v>
      </c>
      <c r="E6" s="491" t="s">
        <v>2031</v>
      </c>
      <c r="F6" s="491" t="s">
        <v>2139</v>
      </c>
      <c r="G6" s="491" t="s">
        <v>2142</v>
      </c>
      <c r="H6" s="505">
        <f t="shared" ca="1" si="1"/>
        <v>43570</v>
      </c>
      <c r="J6" s="94" t="s">
        <v>312</v>
      </c>
      <c r="K6" s="20" t="s">
        <v>104</v>
      </c>
      <c r="L6" s="512">
        <f>36+57</f>
        <v>93</v>
      </c>
      <c r="M6" s="513">
        <f>22230100+251400</f>
        <v>22481500</v>
      </c>
      <c r="N6" s="520">
        <f t="shared" si="2"/>
        <v>2.5685011716290958E-2</v>
      </c>
      <c r="O6" s="519"/>
      <c r="P6" s="18"/>
      <c r="Q6" s="94" t="s">
        <v>105</v>
      </c>
      <c r="R6" s="20" t="s">
        <v>106</v>
      </c>
      <c r="S6" s="96">
        <v>95</v>
      </c>
      <c r="T6" s="264">
        <v>28217600</v>
      </c>
      <c r="U6" s="310">
        <f t="shared" si="3"/>
        <v>0.5194545079673647</v>
      </c>
    </row>
    <row r="7" spans="1:21" s="20" customFormat="1">
      <c r="A7" s="491" t="str">
        <f t="shared" ca="1" si="0"/>
        <v>UFB-5 Tax Assessments</v>
      </c>
      <c r="B7" s="491">
        <f>ROW()</f>
        <v>7</v>
      </c>
      <c r="C7" s="491" t="str">
        <f>'Cover Page'!K6</f>
        <v>1402</v>
      </c>
      <c r="D7" s="491">
        <f>'Cover Page'!K4</f>
        <v>2019</v>
      </c>
      <c r="E7" s="491" t="s">
        <v>2031</v>
      </c>
      <c r="F7" s="491" t="s">
        <v>2139</v>
      </c>
      <c r="G7" s="491" t="s">
        <v>2143</v>
      </c>
      <c r="H7" s="505">
        <f t="shared" ca="1" si="1"/>
        <v>43570</v>
      </c>
      <c r="J7" s="94" t="s">
        <v>107</v>
      </c>
      <c r="K7" s="20" t="s">
        <v>108</v>
      </c>
      <c r="L7" s="514">
        <v>11</v>
      </c>
      <c r="M7" s="515">
        <v>28805900</v>
      </c>
      <c r="N7" s="520">
        <f t="shared" si="2"/>
        <v>3.2910610012601725E-2</v>
      </c>
      <c r="O7" s="519"/>
      <c r="P7" s="18"/>
      <c r="Q7" s="94" t="s">
        <v>109</v>
      </c>
      <c r="R7" s="20" t="s">
        <v>110</v>
      </c>
      <c r="S7" s="95">
        <v>8</v>
      </c>
      <c r="T7" s="264">
        <v>2519200</v>
      </c>
      <c r="U7" s="310">
        <f t="shared" si="3"/>
        <v>4.6375659038025388E-2</v>
      </c>
    </row>
    <row r="8" spans="1:21" s="20" customFormat="1">
      <c r="A8" s="491" t="str">
        <f t="shared" ca="1" si="0"/>
        <v>UFB-5 Tax Assessments</v>
      </c>
      <c r="B8" s="491">
        <f>ROW()</f>
        <v>8</v>
      </c>
      <c r="C8" s="491" t="str">
        <f>'Cover Page'!K6</f>
        <v>1402</v>
      </c>
      <c r="D8" s="491">
        <f>'Cover Page'!K4</f>
        <v>2019</v>
      </c>
      <c r="E8" s="491" t="s">
        <v>2031</v>
      </c>
      <c r="F8" s="491" t="s">
        <v>2139</v>
      </c>
      <c r="G8" s="491" t="s">
        <v>2144</v>
      </c>
      <c r="H8" s="505">
        <f t="shared" ca="1" si="1"/>
        <v>43570</v>
      </c>
      <c r="J8" s="94" t="s">
        <v>111</v>
      </c>
      <c r="K8" s="14" t="s">
        <v>112</v>
      </c>
      <c r="L8" s="514">
        <v>7</v>
      </c>
      <c r="M8" s="515">
        <v>12342400</v>
      </c>
      <c r="N8" s="520">
        <f t="shared" si="2"/>
        <v>1.4101135983237307E-2</v>
      </c>
      <c r="O8" s="519"/>
      <c r="P8" s="18"/>
      <c r="Q8" s="94" t="s">
        <v>113</v>
      </c>
      <c r="R8" s="14" t="s">
        <v>313</v>
      </c>
      <c r="S8" s="95"/>
      <c r="T8" s="264"/>
      <c r="U8" s="310">
        <f t="shared" si="3"/>
        <v>0</v>
      </c>
    </row>
    <row r="9" spans="1:21" s="20" customFormat="1">
      <c r="A9" s="491" t="str">
        <f ca="1">MID(CELL("filename",A9),FIND("]",CELL("filename",A9))+1,256)</f>
        <v>UFB-5 Tax Assessments</v>
      </c>
      <c r="B9" s="491">
        <f>ROW()</f>
        <v>9</v>
      </c>
      <c r="C9" s="491" t="str">
        <f>'Cover Page'!K6</f>
        <v>1402</v>
      </c>
      <c r="D9" s="491">
        <f>'Cover Page'!K4</f>
        <v>2019</v>
      </c>
      <c r="E9" s="491" t="s">
        <v>2031</v>
      </c>
      <c r="F9" s="491" t="s">
        <v>2139</v>
      </c>
      <c r="G9" s="491" t="s">
        <v>2145</v>
      </c>
      <c r="H9" s="505">
        <f t="shared" ca="1" si="1"/>
        <v>43570</v>
      </c>
      <c r="J9" s="94" t="s">
        <v>114</v>
      </c>
      <c r="K9" s="14" t="s">
        <v>115</v>
      </c>
      <c r="L9" s="514"/>
      <c r="M9" s="515"/>
      <c r="N9" s="520">
        <f t="shared" si="2"/>
        <v>0</v>
      </c>
      <c r="O9" s="519"/>
      <c r="P9" s="18"/>
      <c r="Q9" s="94" t="s">
        <v>116</v>
      </c>
      <c r="R9" s="14" t="s">
        <v>117</v>
      </c>
      <c r="S9" s="95">
        <v>7</v>
      </c>
      <c r="T9" s="264">
        <v>15600300</v>
      </c>
      <c r="U9" s="310">
        <f t="shared" si="3"/>
        <v>0.28718410356101443</v>
      </c>
    </row>
    <row r="10" spans="1:21" s="20" customFormat="1">
      <c r="A10" s="491" t="str">
        <f ca="1">MID(CELL("filename",A10),FIND("]",CELL("filename",A10))+1,256)</f>
        <v>UFB-5 Tax Assessments</v>
      </c>
      <c r="B10" s="491">
        <f>ROW()</f>
        <v>10</v>
      </c>
      <c r="C10" s="491" t="str">
        <f>'Cover Page'!K6</f>
        <v>1402</v>
      </c>
      <c r="D10" s="491">
        <f>'Cover Page'!K4</f>
        <v>2019</v>
      </c>
      <c r="E10" s="491" t="s">
        <v>2031</v>
      </c>
      <c r="F10" s="491" t="s">
        <v>2139</v>
      </c>
      <c r="G10" s="491" t="s">
        <v>2146</v>
      </c>
      <c r="H10" s="505">
        <f t="shared" ca="1" si="1"/>
        <v>43570</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1402</v>
      </c>
      <c r="D11" s="491">
        <f>'Cover Page'!K4</f>
        <v>2019</v>
      </c>
      <c r="E11" s="491" t="s">
        <v>2031</v>
      </c>
      <c r="F11" s="491" t="s">
        <v>2139</v>
      </c>
      <c r="G11" s="491" t="s">
        <v>2147</v>
      </c>
      <c r="H11" s="505">
        <f t="shared" ca="1" si="1"/>
        <v>43570</v>
      </c>
      <c r="J11" s="94" t="s">
        <v>311</v>
      </c>
      <c r="K11" s="14" t="s">
        <v>118</v>
      </c>
      <c r="L11" s="514"/>
      <c r="M11" s="515"/>
      <c r="N11" s="520">
        <f t="shared" si="2"/>
        <v>0</v>
      </c>
      <c r="O11" s="519"/>
      <c r="P11" s="18"/>
      <c r="Q11" s="94"/>
      <c r="R11" s="14"/>
      <c r="S11" s="14"/>
      <c r="T11" s="266"/>
      <c r="U11" s="97"/>
    </row>
    <row r="12" spans="1:21" s="20" customFormat="1" ht="14.25" thickTop="1" thickBot="1">
      <c r="A12" s="491" t="str">
        <f t="shared" ca="1" si="0"/>
        <v>UFB-5 Tax Assessments</v>
      </c>
      <c r="B12" s="491">
        <f>ROW()</f>
        <v>12</v>
      </c>
      <c r="C12" s="491" t="str">
        <f>'Cover Page'!K6</f>
        <v>1402</v>
      </c>
      <c r="D12" s="491">
        <f>'Cover Page'!K4</f>
        <v>2019</v>
      </c>
      <c r="E12" s="491" t="s">
        <v>2031</v>
      </c>
      <c r="F12" s="491" t="s">
        <v>2139</v>
      </c>
      <c r="G12" s="491" t="s">
        <v>2148</v>
      </c>
      <c r="H12" s="505">
        <f t="shared" ca="1" si="1"/>
        <v>43570</v>
      </c>
      <c r="J12" s="98"/>
      <c r="K12" s="29" t="s">
        <v>97</v>
      </c>
      <c r="L12" s="312">
        <f>SUM(L4:L11)</f>
        <v>1728</v>
      </c>
      <c r="M12" s="313">
        <f>SUM(M4:M11)</f>
        <v>875277000</v>
      </c>
      <c r="N12" s="311">
        <f>SUM(N4:N11)</f>
        <v>1</v>
      </c>
      <c r="O12" s="116"/>
      <c r="P12" s="18"/>
      <c r="Q12" s="91"/>
      <c r="R12" s="29" t="s">
        <v>97</v>
      </c>
      <c r="S12" s="312">
        <f>SUM(S4:S9)</f>
        <v>111</v>
      </c>
      <c r="T12" s="313">
        <f>SUM(T4:T9)</f>
        <v>54321600</v>
      </c>
      <c r="U12" s="311">
        <f>SUM(U4:U9)</f>
        <v>1</v>
      </c>
    </row>
    <row r="13" spans="1:21" s="20" customFormat="1" ht="13.5" thickTop="1">
      <c r="A13" s="491" t="str">
        <f t="shared" ca="1" si="0"/>
        <v>UFB-5 Tax Assessments</v>
      </c>
      <c r="B13" s="491">
        <f>ROW()</f>
        <v>13</v>
      </c>
      <c r="C13" s="491" t="str">
        <f>'Cover Page'!K6</f>
        <v>1402</v>
      </c>
      <c r="D13" s="491">
        <f>'Cover Page'!K4</f>
        <v>2019</v>
      </c>
      <c r="E13" s="491" t="s">
        <v>2031</v>
      </c>
      <c r="F13" s="491" t="s">
        <v>2139</v>
      </c>
      <c r="G13" s="491"/>
      <c r="H13" s="505">
        <f t="shared" ca="1" si="1"/>
        <v>43570</v>
      </c>
      <c r="J13" s="26"/>
      <c r="O13" s="116"/>
      <c r="P13" s="18"/>
      <c r="Q13" s="98"/>
      <c r="U13" s="327"/>
    </row>
    <row r="14" spans="1:21" s="20" customFormat="1" ht="13.5" thickBot="1">
      <c r="A14" s="491" t="str">
        <f t="shared" ca="1" si="0"/>
        <v>UFB-5 Tax Assessments</v>
      </c>
      <c r="B14" s="491">
        <f>ROW()</f>
        <v>14</v>
      </c>
      <c r="C14" s="491" t="str">
        <f>'Cover Page'!K6</f>
        <v>1402</v>
      </c>
      <c r="D14" s="491">
        <f>'Cover Page'!K4</f>
        <v>2019</v>
      </c>
      <c r="E14" s="491" t="s">
        <v>2031</v>
      </c>
      <c r="F14" s="491" t="s">
        <v>2139</v>
      </c>
      <c r="G14" s="491" t="s">
        <v>2149</v>
      </c>
      <c r="H14" s="505">
        <f t="shared" ca="1" si="1"/>
        <v>43570</v>
      </c>
      <c r="J14" s="91"/>
      <c r="K14" s="480" t="s">
        <v>119</v>
      </c>
      <c r="L14" s="481"/>
      <c r="M14" s="483">
        <v>0.94330000000000003</v>
      </c>
      <c r="N14" s="14"/>
      <c r="O14" s="116"/>
      <c r="P14" s="18"/>
      <c r="Q14" s="91"/>
      <c r="R14" s="14"/>
      <c r="S14" s="14"/>
      <c r="T14" s="14"/>
      <c r="U14" s="116"/>
    </row>
    <row r="15" spans="1:21" s="20" customFormat="1" ht="14.25" thickTop="1" thickBot="1">
      <c r="A15" s="491" t="str">
        <f t="shared" ca="1" si="0"/>
        <v>UFB-5 Tax Assessments</v>
      </c>
      <c r="B15" s="491">
        <f>ROW()</f>
        <v>15</v>
      </c>
      <c r="C15" s="491" t="str">
        <f>'Cover Page'!K6</f>
        <v>1402</v>
      </c>
      <c r="D15" s="491">
        <f>'Cover Page'!K4</f>
        <v>2019</v>
      </c>
      <c r="E15" s="491" t="s">
        <v>2031</v>
      </c>
      <c r="F15" s="491" t="s">
        <v>2139</v>
      </c>
      <c r="G15" s="491" t="s">
        <v>2150</v>
      </c>
      <c r="H15" s="505">
        <f t="shared" ca="1" si="1"/>
        <v>43570</v>
      </c>
      <c r="J15" s="91"/>
      <c r="K15" s="480" t="s">
        <v>120</v>
      </c>
      <c r="L15" s="482"/>
      <c r="M15" s="484">
        <f>IF(M12&gt;0,M12/M14,0)</f>
        <v>927888264.60298944</v>
      </c>
      <c r="N15" s="14"/>
      <c r="O15" s="116"/>
      <c r="P15" s="18"/>
      <c r="Q15" s="91"/>
      <c r="R15" s="8" t="s">
        <v>277</v>
      </c>
      <c r="S15" s="14"/>
      <c r="T15" s="14"/>
      <c r="U15" s="12"/>
    </row>
    <row r="16" spans="1:21" s="20" customFormat="1" ht="13.5" thickTop="1">
      <c r="A16" s="491" t="str">
        <f t="shared" ca="1" si="0"/>
        <v>UFB-5 Tax Assessments</v>
      </c>
      <c r="B16" s="491">
        <f>ROW()</f>
        <v>16</v>
      </c>
      <c r="C16" s="491" t="str">
        <f>'Cover Page'!K6</f>
        <v>1402</v>
      </c>
      <c r="D16" s="491">
        <f>'Cover Page'!K4</f>
        <v>2019</v>
      </c>
      <c r="E16" s="491" t="s">
        <v>2031</v>
      </c>
      <c r="F16" s="491" t="s">
        <v>2139</v>
      </c>
      <c r="G16" s="491" t="s">
        <v>2156</v>
      </c>
      <c r="H16" s="505">
        <f>'Cover Page'!M38</f>
        <v>0</v>
      </c>
      <c r="J16" s="91"/>
      <c r="N16" s="14"/>
      <c r="O16" s="116"/>
      <c r="P16" s="18"/>
      <c r="Q16" s="91"/>
      <c r="R16" s="20" t="s">
        <v>261</v>
      </c>
      <c r="S16" s="28">
        <f>T12/M12</f>
        <v>6.2062181457984159E-2</v>
      </c>
      <c r="T16" s="14"/>
      <c r="U16" s="12"/>
    </row>
    <row r="17" spans="1:21" s="20" customFormat="1" ht="13.5" thickBot="1">
      <c r="A17" s="491" t="str">
        <f t="shared" ca="1" si="0"/>
        <v>UFB-5 Tax Assessments</v>
      </c>
      <c r="B17" s="491">
        <f>ROW()</f>
        <v>17</v>
      </c>
      <c r="C17" s="491" t="str">
        <f>'Cover Page'!K6</f>
        <v>1402</v>
      </c>
      <c r="D17" s="491">
        <f>'Cover Page'!K4</f>
        <v>2019</v>
      </c>
      <c r="E17" s="491" t="s">
        <v>2031</v>
      </c>
      <c r="F17" s="491" t="s">
        <v>2139</v>
      </c>
      <c r="G17" s="491" t="s">
        <v>2151</v>
      </c>
      <c r="H17" s="505">
        <f>'Cover Page'!M38</f>
        <v>0</v>
      </c>
      <c r="J17" s="94"/>
      <c r="K17" s="485" t="str">
        <f>"        Total # of property tax appeals filed in "&amp;'Cover Page'!K4-1</f>
        <v xml:space="preserve">        Total # of property tax appeals filed in 2018</v>
      </c>
      <c r="L17" s="488"/>
      <c r="M17" s="489" t="s">
        <v>123</v>
      </c>
      <c r="N17" s="642">
        <v>10</v>
      </c>
      <c r="O17" s="521"/>
      <c r="P17" s="18"/>
      <c r="Q17" s="91"/>
      <c r="T17" s="93"/>
      <c r="U17" s="12"/>
    </row>
    <row r="18" spans="1:21" s="20" customFormat="1" ht="14.25" thickTop="1" thickBot="1">
      <c r="A18" s="491" t="str">
        <f t="shared" ca="1" si="0"/>
        <v>UFB-5 Tax Assessments</v>
      </c>
      <c r="B18" s="491">
        <f>ROW()</f>
        <v>18</v>
      </c>
      <c r="C18" s="491" t="str">
        <f>'Cover Page'!K6</f>
        <v>1402</v>
      </c>
      <c r="D18" s="491">
        <f>'Cover Page'!K4</f>
        <v>2019</v>
      </c>
      <c r="E18" s="491" t="s">
        <v>2031</v>
      </c>
      <c r="F18" s="491" t="s">
        <v>2139</v>
      </c>
      <c r="G18" s="491" t="s">
        <v>2152</v>
      </c>
      <c r="H18" s="505">
        <f>'Cover Page'!M38</f>
        <v>0</v>
      </c>
      <c r="J18" s="94"/>
      <c r="L18" s="99"/>
      <c r="M18" s="489" t="s">
        <v>122</v>
      </c>
      <c r="N18" s="643">
        <v>2</v>
      </c>
      <c r="O18" s="521"/>
      <c r="P18" s="18"/>
      <c r="Q18" s="91"/>
      <c r="S18" s="309"/>
      <c r="T18" s="99"/>
      <c r="U18" s="12"/>
    </row>
    <row r="19" spans="1:21" s="20" customFormat="1" ht="14.25" thickTop="1" thickBot="1">
      <c r="A19" s="491" t="str">
        <f t="shared" ca="1" si="0"/>
        <v>UFB-5 Tax Assessments</v>
      </c>
      <c r="B19" s="491">
        <f>ROW()</f>
        <v>19</v>
      </c>
      <c r="C19" s="491" t="str">
        <f>'Cover Page'!K6</f>
        <v>1402</v>
      </c>
      <c r="D19" s="491">
        <f>'Cover Page'!K4</f>
        <v>2019</v>
      </c>
      <c r="E19" s="491" t="s">
        <v>2031</v>
      </c>
      <c r="F19" s="491" t="s">
        <v>2139</v>
      </c>
      <c r="G19" s="491" t="s">
        <v>2153</v>
      </c>
      <c r="H19" s="505">
        <f>'Cover Page'!M38</f>
        <v>0</v>
      </c>
      <c r="J19" s="91"/>
      <c r="K19" s="485" t="str">
        <f>"Number of "&amp;'Cover Page'!K4-1&amp;" County Tax Board decisions appealed to Tax Court"</f>
        <v>Number of 2018 County Tax Board decisions appealed to Tax Court</v>
      </c>
      <c r="L19" s="486"/>
      <c r="M19" s="487"/>
      <c r="N19" s="642">
        <v>1</v>
      </c>
      <c r="O19" s="522"/>
      <c r="P19" s="31"/>
      <c r="Q19" s="91"/>
      <c r="R19" s="8"/>
      <c r="S19" s="90"/>
      <c r="T19" s="90"/>
      <c r="U19" s="12"/>
    </row>
    <row r="20" spans="1:21" s="20" customFormat="1" ht="14.25" thickTop="1" thickBot="1">
      <c r="A20" s="491" t="str">
        <f t="shared" ca="1" si="0"/>
        <v>UFB-5 Tax Assessments</v>
      </c>
      <c r="B20" s="491">
        <f>ROW()</f>
        <v>20</v>
      </c>
      <c r="C20" s="491" t="str">
        <f>'Cover Page'!K6</f>
        <v>1402</v>
      </c>
      <c r="D20" s="491">
        <f>'Cover Page'!K4</f>
        <v>2019</v>
      </c>
      <c r="E20" s="491" t="s">
        <v>2031</v>
      </c>
      <c r="F20" s="491" t="s">
        <v>2139</v>
      </c>
      <c r="G20" s="491" t="s">
        <v>2154</v>
      </c>
      <c r="H20" s="505">
        <f>'Cover Page'!M38</f>
        <v>0</v>
      </c>
      <c r="J20" s="91"/>
      <c r="K20" s="485" t="s">
        <v>2285</v>
      </c>
      <c r="L20" s="486"/>
      <c r="M20" s="487"/>
      <c r="N20" s="642">
        <v>4</v>
      </c>
      <c r="O20" s="522"/>
      <c r="P20" s="31"/>
      <c r="Q20" s="91"/>
      <c r="R20" s="8"/>
      <c r="S20" s="90"/>
      <c r="T20" s="90"/>
      <c r="U20" s="12"/>
    </row>
    <row r="21" spans="1:21" s="20" customFormat="1" ht="13.5" thickTop="1">
      <c r="A21" s="491" t="str">
        <f t="shared" ca="1" si="0"/>
        <v>UFB-5 Tax Assessments</v>
      </c>
      <c r="B21" s="491">
        <f>ROW()</f>
        <v>21</v>
      </c>
      <c r="C21" s="491" t="str">
        <f>'Cover Page'!K6</f>
        <v>1402</v>
      </c>
      <c r="D21" s="491">
        <f>'Cover Page'!K4</f>
        <v>2019</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1402</v>
      </c>
      <c r="D22" s="491">
        <f>'Cover Page'!K4</f>
        <v>2019</v>
      </c>
      <c r="E22" s="491" t="s">
        <v>2031</v>
      </c>
      <c r="F22" s="491" t="s">
        <v>2139</v>
      </c>
      <c r="G22" s="491" t="s">
        <v>2155</v>
      </c>
      <c r="H22" s="505">
        <f>'Cover Page'!M38</f>
        <v>0</v>
      </c>
      <c r="J22" s="91"/>
      <c r="K22" s="485" t="str">
        <f>"Amount paid out by municipality for tax appeals in "&amp;'Cover Page'!K4-1</f>
        <v>Amount paid out by municipality for tax appeals in 2018</v>
      </c>
      <c r="L22" s="486"/>
      <c r="M22" s="487"/>
      <c r="N22" s="252">
        <v>7632.04</v>
      </c>
      <c r="O22" s="522"/>
      <c r="P22" s="31"/>
      <c r="Q22" s="91"/>
      <c r="R22" s="8"/>
      <c r="S22" s="90"/>
      <c r="T22" s="90"/>
      <c r="U22" s="12"/>
    </row>
    <row r="23" spans="1:21" s="20" customFormat="1" ht="13.5" thickTop="1">
      <c r="A23" s="491" t="str">
        <f t="shared" ca="1" si="0"/>
        <v>UFB-5 Tax Assessments</v>
      </c>
      <c r="B23" s="491">
        <f>ROW()</f>
        <v>23</v>
      </c>
      <c r="C23" s="491" t="str">
        <f>'Cover Page'!K6</f>
        <v>1402</v>
      </c>
      <c r="D23" s="491">
        <f>'Cover Page'!K4</f>
        <v>2019</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1402</v>
      </c>
      <c r="D24" s="491">
        <f>'Cover Page'!K4</f>
        <v>2019</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1402</v>
      </c>
      <c r="D25" s="491">
        <f>'Cover Page'!K4</f>
        <v>2019</v>
      </c>
      <c r="E25" s="491" t="s">
        <v>2031</v>
      </c>
      <c r="F25" s="491" t="s">
        <v>2234</v>
      </c>
      <c r="G25" s="491"/>
      <c r="H25" s="505">
        <f>'Cover Page'!M38</f>
        <v>0</v>
      </c>
      <c r="J25" s="104"/>
      <c r="K25" s="720" t="s">
        <v>125</v>
      </c>
      <c r="L25" s="720"/>
      <c r="M25" s="720"/>
      <c r="N25" s="720"/>
      <c r="O25" s="720"/>
      <c r="P25" s="20"/>
      <c r="Q25" s="511"/>
      <c r="R25" s="12"/>
    </row>
    <row r="26" spans="1:21">
      <c r="A26" s="491" t="str">
        <f t="shared" ca="1" si="0"/>
        <v>UFB-5 Tax Assessments</v>
      </c>
      <c r="B26" s="491">
        <f>ROW()</f>
        <v>26</v>
      </c>
      <c r="C26" s="491" t="str">
        <f>'Cover Page'!K6</f>
        <v>1402</v>
      </c>
      <c r="D26" s="491">
        <f>'Cover Page'!K4</f>
        <v>2019</v>
      </c>
      <c r="E26" s="491" t="s">
        <v>2031</v>
      </c>
      <c r="F26" s="491" t="s">
        <v>2234</v>
      </c>
      <c r="G26" s="491"/>
      <c r="H26" s="505">
        <f>'Cover Page'!M38</f>
        <v>0</v>
      </c>
      <c r="J26" s="91"/>
      <c r="K26" s="14"/>
      <c r="L26" s="92" t="s">
        <v>212</v>
      </c>
      <c r="M26" s="108" t="s">
        <v>129</v>
      </c>
      <c r="N26" s="14"/>
      <c r="O26" s="722" t="s">
        <v>270</v>
      </c>
      <c r="P26" s="722"/>
      <c r="Q26" s="722"/>
      <c r="R26" s="722"/>
    </row>
    <row r="27" spans="1:21">
      <c r="A27" s="491" t="str">
        <f t="shared" ca="1" si="0"/>
        <v>UFB-5 Tax Assessments</v>
      </c>
      <c r="B27" s="491">
        <f>ROW()</f>
        <v>27</v>
      </c>
      <c r="C27" s="491" t="str">
        <f>'Cover Page'!K6</f>
        <v>1402</v>
      </c>
      <c r="D27" s="491">
        <f>'Cover Page'!K4</f>
        <v>2019</v>
      </c>
      <c r="E27" s="491" t="s">
        <v>2031</v>
      </c>
      <c r="F27" s="491" t="s">
        <v>2234</v>
      </c>
      <c r="G27" s="491"/>
      <c r="H27" s="505">
        <f>'Cover Page'!M38</f>
        <v>0</v>
      </c>
      <c r="J27" s="110"/>
      <c r="K27" s="99"/>
      <c r="L27" s="92" t="s">
        <v>271</v>
      </c>
      <c r="M27" s="108" t="s">
        <v>133</v>
      </c>
      <c r="N27" s="93" t="s">
        <v>96</v>
      </c>
      <c r="O27" s="721" t="str">
        <f>'Cover Page'!K4-1&amp;" Total Tax Rate"</f>
        <v>2018 Total Tax Rate</v>
      </c>
      <c r="P27" s="721"/>
      <c r="Q27" s="721"/>
      <c r="R27" s="721"/>
    </row>
    <row r="28" spans="1:21">
      <c r="A28" s="491" t="str">
        <f t="shared" ca="1" si="0"/>
        <v>UFB-5 Tax Assessments</v>
      </c>
      <c r="B28" s="491">
        <f>ROW()</f>
        <v>28</v>
      </c>
      <c r="C28" s="491" t="str">
        <f>'Cover Page'!K6</f>
        <v>1402</v>
      </c>
      <c r="D28" s="491">
        <f>'Cover Page'!K4</f>
        <v>2019</v>
      </c>
      <c r="E28" s="491" t="s">
        <v>2031</v>
      </c>
      <c r="F28" s="491" t="s">
        <v>2234</v>
      </c>
      <c r="G28" s="491" t="s">
        <v>2226</v>
      </c>
      <c r="H28" s="505">
        <f>'Cover Page'!M38</f>
        <v>0</v>
      </c>
      <c r="J28" s="110" t="s">
        <v>307</v>
      </c>
      <c r="K28" s="111" t="s">
        <v>308</v>
      </c>
      <c r="L28" s="512"/>
      <c r="M28" s="513"/>
      <c r="N28" s="513"/>
      <c r="O28" s="714"/>
      <c r="P28" s="715"/>
      <c r="Q28" s="715"/>
      <c r="R28" s="716"/>
    </row>
    <row r="29" spans="1:21">
      <c r="A29" s="491" t="str">
        <f t="shared" ca="1" si="0"/>
        <v>UFB-5 Tax Assessments</v>
      </c>
      <c r="B29" s="491">
        <f>ROW()</f>
        <v>29</v>
      </c>
      <c r="C29" s="491" t="str">
        <f>'Cover Page'!K6</f>
        <v>1402</v>
      </c>
      <c r="D29" s="491">
        <f>'Cover Page'!K4</f>
        <v>2019</v>
      </c>
      <c r="E29" s="491" t="s">
        <v>2031</v>
      </c>
      <c r="F29" s="491" t="s">
        <v>2234</v>
      </c>
      <c r="G29" s="491" t="s">
        <v>2227</v>
      </c>
      <c r="H29" s="505">
        <f>'Cover Page'!M38</f>
        <v>0</v>
      </c>
      <c r="J29" s="105" t="s">
        <v>137</v>
      </c>
      <c r="K29" s="111" t="s">
        <v>138</v>
      </c>
      <c r="L29" s="512"/>
      <c r="M29" s="513"/>
      <c r="N29" s="513"/>
      <c r="O29" s="714"/>
      <c r="P29" s="715"/>
      <c r="Q29" s="715"/>
      <c r="R29" s="716"/>
    </row>
    <row r="30" spans="1:21">
      <c r="A30" s="491" t="str">
        <f t="shared" ca="1" si="0"/>
        <v>UFB-5 Tax Assessments</v>
      </c>
      <c r="B30" s="491">
        <f>ROW()</f>
        <v>30</v>
      </c>
      <c r="C30" s="491" t="str">
        <f>'Cover Page'!K6</f>
        <v>1402</v>
      </c>
      <c r="D30" s="491">
        <f>'Cover Page'!K4</f>
        <v>2019</v>
      </c>
      <c r="E30" s="491" t="s">
        <v>2031</v>
      </c>
      <c r="F30" s="491" t="s">
        <v>2234</v>
      </c>
      <c r="G30" s="491" t="s">
        <v>2228</v>
      </c>
      <c r="H30" s="505">
        <f>'Cover Page'!M38</f>
        <v>0</v>
      </c>
      <c r="J30" s="105" t="s">
        <v>139</v>
      </c>
      <c r="K30" s="114" t="s">
        <v>140</v>
      </c>
      <c r="L30" s="514"/>
      <c r="M30" s="515"/>
      <c r="N30" s="515"/>
      <c r="O30" s="714"/>
      <c r="P30" s="715"/>
      <c r="Q30" s="715"/>
      <c r="R30" s="716"/>
    </row>
    <row r="31" spans="1:21">
      <c r="A31" s="491" t="str">
        <f t="shared" ca="1" si="0"/>
        <v>UFB-5 Tax Assessments</v>
      </c>
      <c r="B31" s="491">
        <f>ROW()</f>
        <v>31</v>
      </c>
      <c r="C31" s="491" t="str">
        <f>'Cover Page'!K6</f>
        <v>1402</v>
      </c>
      <c r="D31" s="491">
        <f>'Cover Page'!K4</f>
        <v>2019</v>
      </c>
      <c r="E31" s="491" t="s">
        <v>2031</v>
      </c>
      <c r="F31" s="491" t="s">
        <v>2234</v>
      </c>
      <c r="G31" s="491" t="s">
        <v>2229</v>
      </c>
      <c r="H31" s="505">
        <f>'Cover Page'!M38</f>
        <v>0</v>
      </c>
      <c r="J31" s="110" t="s">
        <v>141</v>
      </c>
      <c r="K31" s="115" t="s">
        <v>142</v>
      </c>
      <c r="L31" s="512"/>
      <c r="M31" s="513"/>
      <c r="N31" s="513"/>
      <c r="O31" s="714"/>
      <c r="P31" s="715"/>
      <c r="Q31" s="715"/>
      <c r="R31" s="716"/>
    </row>
    <row r="32" spans="1:21">
      <c r="A32" s="491" t="str">
        <f t="shared" ca="1" si="0"/>
        <v>UFB-5 Tax Assessments</v>
      </c>
      <c r="B32" s="491">
        <f>ROW()</f>
        <v>32</v>
      </c>
      <c r="C32" s="491" t="str">
        <f>'Cover Page'!K6</f>
        <v>1402</v>
      </c>
      <c r="D32" s="491">
        <f>'Cover Page'!K4</f>
        <v>2019</v>
      </c>
      <c r="E32" s="491" t="s">
        <v>2031</v>
      </c>
      <c r="F32" s="491" t="s">
        <v>2234</v>
      </c>
      <c r="G32" s="491" t="s">
        <v>2230</v>
      </c>
      <c r="H32" s="505">
        <f>'Cover Page'!M38</f>
        <v>0</v>
      </c>
      <c r="J32" s="110" t="s">
        <v>143</v>
      </c>
      <c r="K32" s="115" t="s">
        <v>144</v>
      </c>
      <c r="L32" s="512"/>
      <c r="M32" s="513"/>
      <c r="N32" s="513"/>
      <c r="O32" s="714"/>
      <c r="P32" s="715"/>
      <c r="Q32" s="715"/>
      <c r="R32" s="716"/>
    </row>
    <row r="33" spans="1:21">
      <c r="A33" s="491" t="str">
        <f t="shared" ca="1" si="0"/>
        <v>UFB-5 Tax Assessments</v>
      </c>
      <c r="B33" s="491">
        <f>ROW()</f>
        <v>33</v>
      </c>
      <c r="C33" s="491" t="str">
        <f>'Cover Page'!K6</f>
        <v>1402</v>
      </c>
      <c r="D33" s="491">
        <f>'Cover Page'!K4</f>
        <v>2019</v>
      </c>
      <c r="E33" s="491" t="s">
        <v>2031</v>
      </c>
      <c r="F33" s="491" t="s">
        <v>2234</v>
      </c>
      <c r="G33" s="491" t="s">
        <v>2231</v>
      </c>
      <c r="H33" s="505">
        <f>'Cover Page'!M38</f>
        <v>0</v>
      </c>
      <c r="J33" s="110" t="s">
        <v>145</v>
      </c>
      <c r="K33" s="114" t="s">
        <v>146</v>
      </c>
      <c r="L33" s="512"/>
      <c r="M33" s="513"/>
      <c r="N33" s="513"/>
      <c r="O33" s="714"/>
      <c r="P33" s="715"/>
      <c r="Q33" s="715"/>
      <c r="R33" s="716"/>
    </row>
    <row r="34" spans="1:21" ht="13.5" thickBot="1">
      <c r="A34" s="491" t="str">
        <f t="shared" ca="1" si="0"/>
        <v>UFB-5 Tax Assessments</v>
      </c>
      <c r="B34" s="491">
        <f>ROW()</f>
        <v>34</v>
      </c>
      <c r="C34" s="491" t="str">
        <f>'Cover Page'!K6</f>
        <v>1402</v>
      </c>
      <c r="D34" s="491">
        <f>'Cover Page'!K4</f>
        <v>2019</v>
      </c>
      <c r="E34" s="491" t="s">
        <v>2031</v>
      </c>
      <c r="F34" s="491" t="s">
        <v>2234</v>
      </c>
      <c r="G34" s="491" t="s">
        <v>2232</v>
      </c>
      <c r="H34" s="505">
        <f>'Cover Page'!M38</f>
        <v>0</v>
      </c>
      <c r="J34" s="110" t="s">
        <v>147</v>
      </c>
      <c r="K34" s="114" t="s">
        <v>148</v>
      </c>
      <c r="L34" s="512"/>
      <c r="M34" s="513"/>
      <c r="N34" s="513"/>
      <c r="O34" s="714"/>
      <c r="P34" s="715"/>
      <c r="Q34" s="715"/>
      <c r="R34" s="716"/>
    </row>
    <row r="35" spans="1:21" ht="13.5" thickTop="1">
      <c r="A35" s="491" t="str">
        <f t="shared" ca="1" si="0"/>
        <v>UFB-5 Tax Assessments</v>
      </c>
      <c r="B35" s="491">
        <f>ROW()</f>
        <v>35</v>
      </c>
      <c r="C35" s="491" t="str">
        <f>'Cover Page'!K6</f>
        <v>1402</v>
      </c>
      <c r="D35" s="491">
        <f>'Cover Page'!K4</f>
        <v>2019</v>
      </c>
      <c r="E35" s="491" t="s">
        <v>2031</v>
      </c>
      <c r="F35" s="491" t="s">
        <v>2234</v>
      </c>
      <c r="G35" s="491" t="s">
        <v>2233</v>
      </c>
      <c r="H35" s="505">
        <f>'Cover Page'!M38</f>
        <v>0</v>
      </c>
      <c r="J35" s="119"/>
      <c r="K35" s="24" t="s">
        <v>149</v>
      </c>
      <c r="L35" s="517">
        <f>SUM(L28:L34)</f>
        <v>0</v>
      </c>
      <c r="M35" s="518">
        <f>SUM(M28:M34)</f>
        <v>0</v>
      </c>
      <c r="N35" s="518">
        <f>SUM(N28:N34)</f>
        <v>0</v>
      </c>
      <c r="O35" s="717">
        <f>SUM(O28:O34)</f>
        <v>0</v>
      </c>
      <c r="P35" s="718"/>
      <c r="Q35" s="718"/>
      <c r="R35" s="719"/>
    </row>
    <row r="36" spans="1:21" ht="14.25">
      <c r="A36" s="491"/>
      <c r="B36" s="491"/>
      <c r="C36" s="491"/>
      <c r="D36" s="491"/>
      <c r="E36" s="491"/>
      <c r="F36" s="491"/>
      <c r="G36" s="491"/>
      <c r="H36" s="505"/>
      <c r="J36" s="706" t="s">
        <v>124</v>
      </c>
      <c r="K36" s="706"/>
      <c r="L36" s="706"/>
      <c r="M36" s="706"/>
      <c r="N36" s="706"/>
      <c r="O36" s="706"/>
      <c r="P36" s="706"/>
      <c r="Q36" s="706"/>
      <c r="R36" s="706"/>
      <c r="S36" s="706"/>
      <c r="T36" s="706"/>
      <c r="U36" s="706"/>
    </row>
  </sheetData>
  <sheetProtection algorithmName="SHA-512" hashValue="0a/6Dy7L1lhaoqVgTcGKDUGz9pyDYpcSCQMN6znEabgVmnMXskSinGCwr7EfCM8gefQCMHtFAJjz97i9a4Yvfg==" saltValue="kpEKL5+cHNfBNVwxz3bzHw=="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I39"/>
  <sheetViews>
    <sheetView topLeftCell="J1" zoomScaleNormal="100" workbookViewId="0">
      <selection activeCell="N10" sqref="N10"/>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2019</v>
      </c>
      <c r="E1" s="101" t="s">
        <v>2031</v>
      </c>
      <c r="F1" s="101" t="s">
        <v>2157</v>
      </c>
      <c r="H1" s="508">
        <v>42073</v>
      </c>
      <c r="J1" s="723"/>
      <c r="K1" s="723"/>
      <c r="L1" s="723"/>
      <c r="M1" s="723"/>
      <c r="N1" s="723"/>
      <c r="O1" s="723"/>
      <c r="P1" s="385"/>
      <c r="Q1" s="723" t="s">
        <v>0</v>
      </c>
      <c r="R1" s="723"/>
      <c r="S1" s="723"/>
      <c r="T1" s="723"/>
      <c r="U1" s="723"/>
      <c r="V1" s="723"/>
      <c r="W1" s="723"/>
      <c r="X1" s="723"/>
      <c r="Y1" s="723"/>
      <c r="Z1" s="723"/>
      <c r="AA1" s="723"/>
      <c r="AB1" s="723"/>
    </row>
    <row r="2" spans="1:33" ht="18.75">
      <c r="A2" s="101" t="s">
        <v>2040</v>
      </c>
      <c r="B2" s="101">
        <v>2</v>
      </c>
      <c r="C2" s="101" t="s">
        <v>332</v>
      </c>
      <c r="D2" s="523">
        <f>'Cover Page'!K4</f>
        <v>2019</v>
      </c>
      <c r="E2" s="101" t="s">
        <v>2031</v>
      </c>
      <c r="F2" s="101" t="s">
        <v>2157</v>
      </c>
      <c r="G2" s="101" t="s">
        <v>121</v>
      </c>
      <c r="H2" s="508">
        <v>42073</v>
      </c>
      <c r="J2" s="724"/>
      <c r="K2" s="724"/>
      <c r="L2" s="724"/>
      <c r="M2" s="724"/>
      <c r="N2" s="724"/>
      <c r="O2" s="724"/>
      <c r="P2" s="385"/>
      <c r="Q2" s="724" t="s">
        <v>2286</v>
      </c>
      <c r="R2" s="724"/>
      <c r="S2" s="724"/>
      <c r="T2" s="724"/>
      <c r="U2" s="724"/>
      <c r="V2" s="724"/>
      <c r="W2" s="724"/>
      <c r="X2" s="724"/>
      <c r="Y2" s="724"/>
      <c r="Z2" s="724"/>
      <c r="AA2" s="724"/>
      <c r="AB2" s="724"/>
    </row>
    <row r="3" spans="1:33">
      <c r="A3" s="101" t="s">
        <v>2040</v>
      </c>
      <c r="B3" s="101">
        <v>3</v>
      </c>
      <c r="C3" s="101" t="s">
        <v>332</v>
      </c>
      <c r="D3" s="523">
        <f>'Cover Page'!K4</f>
        <v>2019</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2019</v>
      </c>
      <c r="E4" s="101" t="s">
        <v>2031</v>
      </c>
      <c r="F4" s="101" t="s">
        <v>2157</v>
      </c>
      <c r="G4" s="101" t="s">
        <v>121</v>
      </c>
      <c r="H4" s="508">
        <v>42073</v>
      </c>
      <c r="J4" s="363"/>
      <c r="K4" s="725" t="s">
        <v>126</v>
      </c>
      <c r="L4" s="720"/>
      <c r="M4" s="720"/>
      <c r="N4" s="720"/>
      <c r="O4" s="726"/>
      <c r="P4" s="385"/>
      <c r="Q4" s="720" t="s">
        <v>126</v>
      </c>
      <c r="R4" s="720"/>
      <c r="S4" s="720"/>
      <c r="T4" s="720"/>
      <c r="U4" s="726"/>
      <c r="V4" s="391"/>
      <c r="W4" s="725" t="s">
        <v>126</v>
      </c>
      <c r="X4" s="720"/>
      <c r="Y4" s="720"/>
      <c r="Z4" s="720"/>
      <c r="AA4" s="726"/>
      <c r="AB4" s="391"/>
      <c r="AC4" s="725" t="s">
        <v>126</v>
      </c>
      <c r="AD4" s="720"/>
      <c r="AE4" s="720"/>
      <c r="AF4" s="720"/>
      <c r="AG4" s="726"/>
    </row>
    <row r="5" spans="1:33" ht="12.75" customHeight="1">
      <c r="A5" s="101" t="s">
        <v>2040</v>
      </c>
      <c r="B5" s="101">
        <v>5</v>
      </c>
      <c r="C5" s="101" t="s">
        <v>332</v>
      </c>
      <c r="D5" s="523">
        <f>'Cover Page'!K4</f>
        <v>2019</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2019</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2019</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2019</v>
      </c>
      <c r="E8" s="101" t="s">
        <v>2031</v>
      </c>
      <c r="F8" s="101" t="s">
        <v>2157</v>
      </c>
      <c r="H8" s="505">
        <f>'Cover Page'!M38</f>
        <v>0</v>
      </c>
      <c r="J8" s="364"/>
      <c r="K8" s="91" t="s">
        <v>134</v>
      </c>
      <c r="L8" s="108" t="s">
        <v>135</v>
      </c>
      <c r="M8" s="108" t="s">
        <v>136</v>
      </c>
      <c r="N8" s="93" t="s">
        <v>96</v>
      </c>
      <c r="O8" s="109" t="str">
        <f>'Cover Page'!K4-1&amp;" Total Tax Rate"</f>
        <v>2018 Total Tax Rate</v>
      </c>
      <c r="P8" s="386"/>
      <c r="Q8" s="92" t="s">
        <v>134</v>
      </c>
      <c r="R8" s="108" t="s">
        <v>135</v>
      </c>
      <c r="S8" s="108" t="s">
        <v>136</v>
      </c>
      <c r="T8" s="93" t="s">
        <v>96</v>
      </c>
      <c r="U8" s="559" t="str">
        <f>'Cover Page'!K4-1&amp;" Total Tax Rate"</f>
        <v>2018 Total Tax Rate</v>
      </c>
      <c r="V8" s="393"/>
      <c r="W8" s="91" t="s">
        <v>134</v>
      </c>
      <c r="X8" s="108" t="s">
        <v>135</v>
      </c>
      <c r="Y8" s="108" t="s">
        <v>136</v>
      </c>
      <c r="Z8" s="93" t="s">
        <v>96</v>
      </c>
      <c r="AA8" s="109" t="str">
        <f>'Cover Page'!K4-1&amp;" Total Tax Rate"</f>
        <v>2018 Total Tax Rate</v>
      </c>
      <c r="AB8" s="393"/>
      <c r="AC8" s="91" t="s">
        <v>134</v>
      </c>
      <c r="AD8" s="108" t="s">
        <v>135</v>
      </c>
      <c r="AE8" s="108" t="s">
        <v>136</v>
      </c>
      <c r="AF8" s="93" t="s">
        <v>96</v>
      </c>
      <c r="AG8" s="109" t="str">
        <f>'Cover Page'!K4-1&amp;" Total Tax Rate"</f>
        <v>2018 Total Tax Rate</v>
      </c>
    </row>
    <row r="9" spans="1:33" s="99" customFormat="1">
      <c r="A9" s="99" t="s">
        <v>2040</v>
      </c>
      <c r="B9" s="99">
        <v>9</v>
      </c>
      <c r="C9" s="99" t="s">
        <v>332</v>
      </c>
      <c r="D9" s="523">
        <f>'Cover Page'!K4</f>
        <v>2019</v>
      </c>
      <c r="E9" s="101" t="s">
        <v>2031</v>
      </c>
      <c r="F9" s="101" t="s">
        <v>2157</v>
      </c>
      <c r="G9" s="99" t="s">
        <v>2158</v>
      </c>
      <c r="H9" s="505">
        <f>'Cover Page'!M38</f>
        <v>0</v>
      </c>
      <c r="J9" s="365"/>
      <c r="K9" s="112" t="s">
        <v>2350</v>
      </c>
      <c r="L9" s="368" t="s">
        <v>278</v>
      </c>
      <c r="M9" s="265">
        <v>158143.35999999999</v>
      </c>
      <c r="N9" s="265">
        <v>12319000</v>
      </c>
      <c r="O9" s="653">
        <f>N9*2.2254/100</f>
        <v>274147.02600000001</v>
      </c>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2019</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2019</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2019</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2019</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2019</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15" customHeight="1">
      <c r="A15" s="99" t="s">
        <v>2040</v>
      </c>
      <c r="B15" s="99">
        <v>15</v>
      </c>
      <c r="C15" s="99" t="s">
        <v>332</v>
      </c>
      <c r="D15" s="523">
        <f>'Cover Page'!K4</f>
        <v>2019</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2019</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2019</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2019</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2019</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2019</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2019</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2019</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2019</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2019</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2019</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2019</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2019</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2019</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2019</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2019</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15" customHeight="1">
      <c r="A31" s="99" t="s">
        <v>2040</v>
      </c>
      <c r="B31" s="99">
        <v>31</v>
      </c>
      <c r="C31" s="99" t="s">
        <v>332</v>
      </c>
      <c r="D31" s="523">
        <f>'Cover Page'!K4</f>
        <v>2019</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15" customHeight="1">
      <c r="A32" s="99" t="s">
        <v>2040</v>
      </c>
      <c r="B32" s="99">
        <v>32</v>
      </c>
      <c r="C32" s="99" t="s">
        <v>332</v>
      </c>
      <c r="D32" s="523">
        <f>'Cover Page'!K4</f>
        <v>2019</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15" customHeight="1">
      <c r="A33" s="99" t="s">
        <v>2040</v>
      </c>
      <c r="B33" s="99">
        <v>33</v>
      </c>
      <c r="C33" s="99" t="s">
        <v>332</v>
      </c>
      <c r="D33" s="523">
        <f>'Cover Page'!K4</f>
        <v>2019</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15" customHeight="1">
      <c r="A34" s="99" t="s">
        <v>2040</v>
      </c>
      <c r="B34" s="99">
        <v>34</v>
      </c>
      <c r="C34" s="99" t="s">
        <v>332</v>
      </c>
      <c r="D34" s="523">
        <f>'Cover Page'!K4</f>
        <v>2019</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15" customHeight="1">
      <c r="A35" s="99" t="s">
        <v>2040</v>
      </c>
      <c r="B35" s="99">
        <v>35</v>
      </c>
      <c r="C35" s="99" t="s">
        <v>332</v>
      </c>
      <c r="D35" s="523">
        <f>'Cover Page'!K4</f>
        <v>2019</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15" customHeight="1" thickBot="1">
      <c r="A36" s="99" t="s">
        <v>2040</v>
      </c>
      <c r="B36" s="99">
        <v>36</v>
      </c>
      <c r="C36" s="99" t="s">
        <v>332</v>
      </c>
      <c r="D36" s="523">
        <f>'Cover Page'!K4</f>
        <v>2019</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2019</v>
      </c>
      <c r="E37" s="101" t="s">
        <v>2031</v>
      </c>
      <c r="F37" s="101" t="s">
        <v>2157</v>
      </c>
      <c r="G37" s="99" t="s">
        <v>2160</v>
      </c>
      <c r="H37" s="505">
        <f>'Cover Page'!M38</f>
        <v>0</v>
      </c>
      <c r="J37" s="366"/>
      <c r="K37" s="118" t="s">
        <v>150</v>
      </c>
      <c r="L37" s="29"/>
      <c r="M37" s="315">
        <f>SUM(M9:M36)</f>
        <v>158143.35999999999</v>
      </c>
      <c r="N37" s="314">
        <f>SUM(N9:N36)</f>
        <v>12319000</v>
      </c>
      <c r="O37" s="314">
        <f>SUM(O9:O36)</f>
        <v>274147.02600000001</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2019</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158143.35999999999</v>
      </c>
      <c r="AF38" s="313">
        <f>N37+T37+Z37+AF37</f>
        <v>12319000</v>
      </c>
      <c r="AG38" s="313">
        <f>O37+U37+AA37+AG37</f>
        <v>274147.02600000001</v>
      </c>
    </row>
    <row r="39" spans="1:33" ht="15.75" thickTop="1">
      <c r="J39" s="727"/>
      <c r="K39" s="727"/>
      <c r="L39" s="727"/>
      <c r="M39" s="727"/>
      <c r="N39" s="727"/>
      <c r="O39" s="727"/>
      <c r="U39" s="728" t="s">
        <v>2276</v>
      </c>
      <c r="V39" s="729"/>
      <c r="W39" s="729"/>
      <c r="AG39" s="400" t="s">
        <v>284</v>
      </c>
    </row>
  </sheetData>
  <sheetProtection algorithmName="SHA-512" hashValue="nm+B9av9XMVYiuRAb1YEr8zStSuSsog8i5wxKWN5Bv9YFxhKVKWfjX6WdlDiLyN5A8acq/CzUEAg2mRL40Bt/g==" saltValue="3sEUFQeXtQAz3MPfPLR2Kg=="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xr:uid="{00000000-0002-0000-0700-000000000000}">
      <formula1>$AI$26:$AI$29</formula1>
    </dataValidation>
  </dataValidations>
  <printOptions horizontalCentered="1" verticalCentered="1"/>
  <pageMargins left="0.2" right="0.2" top="0.25" bottom="0.25" header="0.3" footer="0.3"/>
  <pageSetup paperSize="5" scale="53"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S39"/>
  <sheetViews>
    <sheetView topLeftCell="J1" workbookViewId="0">
      <selection activeCell="Q21" sqref="Q21"/>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1402</v>
      </c>
      <c r="D1" s="491">
        <f>'Cover Page'!K4</f>
        <v>2019</v>
      </c>
      <c r="E1" s="491" t="s">
        <v>2031</v>
      </c>
      <c r="F1" s="491" t="s">
        <v>2161</v>
      </c>
      <c r="G1" s="491"/>
      <c r="H1" s="505">
        <f>'Cover Page'!M38</f>
        <v>0</v>
      </c>
      <c r="J1" s="686" t="s">
        <v>0</v>
      </c>
      <c r="K1" s="686"/>
      <c r="L1" s="686"/>
      <c r="M1" s="686"/>
      <c r="N1" s="686"/>
      <c r="O1" s="686"/>
      <c r="P1" s="686"/>
      <c r="Q1" s="686"/>
      <c r="R1" s="686"/>
      <c r="S1" s="686"/>
    </row>
    <row r="2" spans="1:19" ht="18.75">
      <c r="A2" s="491" t="str">
        <f ca="1">MID(CELL("filename",A2),FIND("]",CELL("filename",A2))+1,256)</f>
        <v>UFB-7 Personnel Costs</v>
      </c>
      <c r="B2" s="491">
        <f>ROW()</f>
        <v>2</v>
      </c>
      <c r="C2" s="491" t="str">
        <f>'Cover Page'!K6</f>
        <v>1402</v>
      </c>
      <c r="D2" s="491">
        <f>'Cover Page'!K4</f>
        <v>2019</v>
      </c>
      <c r="E2" s="491" t="s">
        <v>2031</v>
      </c>
      <c r="F2" s="491" t="s">
        <v>2161</v>
      </c>
      <c r="G2" s="491" t="s">
        <v>121</v>
      </c>
      <c r="H2" s="505">
        <f>'Cover Page'!M38</f>
        <v>0</v>
      </c>
      <c r="J2" s="730" t="s">
        <v>152</v>
      </c>
      <c r="K2" s="730"/>
      <c r="L2" s="730"/>
      <c r="M2" s="730"/>
      <c r="N2" s="730"/>
      <c r="O2" s="730"/>
      <c r="P2" s="730"/>
      <c r="Q2" s="730"/>
      <c r="R2" s="730"/>
      <c r="S2" s="730"/>
    </row>
    <row r="3" spans="1:19" ht="12.75" customHeight="1">
      <c r="A3" s="491" t="str">
        <f t="shared" ref="A3:A19" ca="1" si="0">MID(CELL("filename",A3),FIND("]",CELL("filename",A3))+1,256)</f>
        <v>UFB-7 Personnel Costs</v>
      </c>
      <c r="B3" s="491">
        <f>ROW()</f>
        <v>3</v>
      </c>
      <c r="C3" s="491" t="str">
        <f>'Cover Page'!K6</f>
        <v>1402</v>
      </c>
      <c r="D3" s="491">
        <f>'Cover Page'!K4</f>
        <v>2019</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1402</v>
      </c>
      <c r="D4" s="491">
        <f>'Cover Page'!K4</f>
        <v>2019</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1402</v>
      </c>
      <c r="D5" s="491">
        <f>'Cover Page'!K4</f>
        <v>2019</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1402</v>
      </c>
      <c r="D6" s="491">
        <f>'Cover Page'!K4</f>
        <v>2019</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1402</v>
      </c>
      <c r="D7" s="491">
        <f>'Cover Page'!K4</f>
        <v>2019</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1402</v>
      </c>
      <c r="D8" s="491">
        <f>'Cover Page'!K4</f>
        <v>2019</v>
      </c>
      <c r="E8" s="491" t="s">
        <v>2031</v>
      </c>
      <c r="F8" s="491" t="s">
        <v>2161</v>
      </c>
      <c r="G8" s="491" t="s">
        <v>2162</v>
      </c>
      <c r="H8" s="505">
        <f>'Cover Page'!M38</f>
        <v>0</v>
      </c>
      <c r="J8" s="146" t="s">
        <v>169</v>
      </c>
      <c r="K8" s="147"/>
      <c r="L8" s="601"/>
      <c r="M8" s="602"/>
      <c r="N8" s="405">
        <f>SUM(O8:S8)</f>
        <v>0</v>
      </c>
      <c r="O8" s="616"/>
      <c r="P8" s="617"/>
      <c r="Q8" s="618"/>
      <c r="R8" s="618"/>
      <c r="S8" s="619"/>
    </row>
    <row r="9" spans="1:19" ht="15">
      <c r="A9" s="491" t="str">
        <f t="shared" ca="1" si="0"/>
        <v>UFB-7 Personnel Costs</v>
      </c>
      <c r="B9" s="491">
        <f>ROW()</f>
        <v>9</v>
      </c>
      <c r="C9" s="491" t="str">
        <f>'Cover Page'!K6</f>
        <v>1402</v>
      </c>
      <c r="D9" s="491">
        <f>'Cover Page'!K4</f>
        <v>2019</v>
      </c>
      <c r="E9" s="491" t="s">
        <v>2031</v>
      </c>
      <c r="F9" s="491" t="s">
        <v>2161</v>
      </c>
      <c r="G9" s="491" t="s">
        <v>2163</v>
      </c>
      <c r="H9" s="505">
        <f>'Cover Page'!M38</f>
        <v>0</v>
      </c>
      <c r="J9" s="146" t="s">
        <v>170</v>
      </c>
      <c r="K9" s="147"/>
      <c r="L9" s="603">
        <v>3</v>
      </c>
      <c r="M9" s="602">
        <v>2</v>
      </c>
      <c r="N9" s="405">
        <f t="shared" ref="N9:N13" si="1">SUM(O9:S9)</f>
        <v>364547.70493715</v>
      </c>
      <c r="O9" s="405">
        <v>278038</v>
      </c>
      <c r="P9" s="616">
        <f>(278038-7617)*0.1411</f>
        <v>38156.403100000003</v>
      </c>
      <c r="Q9" s="620">
        <v>2500</v>
      </c>
      <c r="R9" s="618">
        <v>21664.43</v>
      </c>
      <c r="S9" s="619">
        <f>0.0765*(O9+P9)</f>
        <v>24188.87183715</v>
      </c>
    </row>
    <row r="10" spans="1:19" ht="15">
      <c r="A10" s="491" t="str">
        <f ca="1">MID(CELL("filename",A10),FIND("]",CELL("filename",A10))+1,256)</f>
        <v>UFB-7 Personnel Costs</v>
      </c>
      <c r="B10" s="491">
        <f>ROW()</f>
        <v>10</v>
      </c>
      <c r="C10" s="491" t="str">
        <f>'Cover Page'!K6</f>
        <v>1402</v>
      </c>
      <c r="D10" s="491">
        <f>'Cover Page'!K4</f>
        <v>2019</v>
      </c>
      <c r="E10" s="491" t="s">
        <v>2031</v>
      </c>
      <c r="F10" s="491" t="s">
        <v>2161</v>
      </c>
      <c r="G10" s="491" t="s">
        <v>2164</v>
      </c>
      <c r="H10" s="505">
        <f>'Cover Page'!M38</f>
        <v>0</v>
      </c>
      <c r="J10" s="146" t="s">
        <v>171</v>
      </c>
      <c r="K10" s="147"/>
      <c r="L10" s="603">
        <v>15</v>
      </c>
      <c r="M10" s="602"/>
      <c r="N10" s="405">
        <f t="shared" si="1"/>
        <v>2440283.1194799999</v>
      </c>
      <c r="O10" s="616">
        <v>1462750.4</v>
      </c>
      <c r="P10" s="620">
        <v>221594</v>
      </c>
      <c r="Q10" s="621">
        <f>0.2947*O10</f>
        <v>431072.54288000002</v>
      </c>
      <c r="R10" s="618">
        <v>196013.83</v>
      </c>
      <c r="S10" s="619">
        <f>0.0765*(O10+P10)</f>
        <v>128852.34659999999</v>
      </c>
    </row>
    <row r="11" spans="1:19" ht="15">
      <c r="A11" s="491" t="str">
        <f ca="1">MID(CELL("filename",A11),FIND("]",CELL("filename",A11))+1,256)</f>
        <v>UFB-7 Personnel Costs</v>
      </c>
      <c r="B11" s="491">
        <f>ROW()</f>
        <v>11</v>
      </c>
      <c r="C11" s="491" t="str">
        <f>'Cover Page'!K6</f>
        <v>1402</v>
      </c>
      <c r="D11" s="491">
        <f>'Cover Page'!K4</f>
        <v>2019</v>
      </c>
      <c r="E11" s="491" t="s">
        <v>2031</v>
      </c>
      <c r="F11" s="491" t="s">
        <v>2161</v>
      </c>
      <c r="G11" s="491" t="s">
        <v>2165</v>
      </c>
      <c r="H11" s="505">
        <f>'Cover Page'!M38</f>
        <v>0</v>
      </c>
      <c r="J11" s="146" t="s">
        <v>172</v>
      </c>
      <c r="K11" s="147"/>
      <c r="L11" s="603"/>
      <c r="M11" s="602"/>
      <c r="N11" s="405">
        <f>SUM(O11:S11)</f>
        <v>0</v>
      </c>
      <c r="O11" s="616"/>
      <c r="P11" s="620"/>
      <c r="Q11" s="621"/>
      <c r="R11" s="618"/>
      <c r="S11" s="619"/>
    </row>
    <row r="12" spans="1:19" ht="15">
      <c r="A12" s="491" t="str">
        <f ca="1">MID(CELL("filename",A12),FIND("]",CELL("filename",A12))+1,256)</f>
        <v>UFB-7 Personnel Costs</v>
      </c>
      <c r="B12" s="491">
        <f>ROW()</f>
        <v>12</v>
      </c>
      <c r="C12" s="491" t="str">
        <f>'Cover Page'!K6</f>
        <v>1402</v>
      </c>
      <c r="D12" s="491">
        <f>'Cover Page'!K4</f>
        <v>2019</v>
      </c>
      <c r="E12" s="491" t="s">
        <v>2031</v>
      </c>
      <c r="F12" s="491" t="s">
        <v>2161</v>
      </c>
      <c r="G12" s="491" t="s">
        <v>2166</v>
      </c>
      <c r="H12" s="505">
        <f>'Cover Page'!M38</f>
        <v>0</v>
      </c>
      <c r="J12" s="146" t="s">
        <v>173</v>
      </c>
      <c r="K12" s="147"/>
      <c r="L12" s="603">
        <v>3</v>
      </c>
      <c r="M12" s="602">
        <v>11</v>
      </c>
      <c r="N12" s="405">
        <f t="shared" si="1"/>
        <v>447527.22269999998</v>
      </c>
      <c r="O12" s="616">
        <v>340141</v>
      </c>
      <c r="P12" s="620">
        <v>6000</v>
      </c>
      <c r="Q12" s="621">
        <f>(55096*0.2947)+(29011*0.055)</f>
        <v>17832.396200000003</v>
      </c>
      <c r="R12" s="618">
        <f>274752.3-217678.26</f>
        <v>57074.039999999979</v>
      </c>
      <c r="S12" s="619">
        <f>0.0765*(O12+P12)</f>
        <v>26479.786499999998</v>
      </c>
    </row>
    <row r="13" spans="1:19" ht="15.75" thickBot="1">
      <c r="A13" s="491" t="str">
        <f ca="1">MID(CELL("filename",A13),FIND("]",CELL("filename",A13))+1,256)</f>
        <v>UFB-7 Personnel Costs</v>
      </c>
      <c r="B13" s="491">
        <f>ROW()</f>
        <v>13</v>
      </c>
      <c r="C13" s="491" t="str">
        <f>'Cover Page'!K6</f>
        <v>1402</v>
      </c>
      <c r="D13" s="491">
        <f>'Cover Page'!K4</f>
        <v>2019</v>
      </c>
      <c r="E13" s="491" t="s">
        <v>2031</v>
      </c>
      <c r="F13" s="491" t="s">
        <v>2161</v>
      </c>
      <c r="G13" s="491" t="s">
        <v>2167</v>
      </c>
      <c r="H13" s="505">
        <f>'Cover Page'!M38</f>
        <v>0</v>
      </c>
      <c r="J13" s="146" t="s">
        <v>174</v>
      </c>
      <c r="K13" s="148"/>
      <c r="L13" s="603"/>
      <c r="M13" s="602"/>
      <c r="N13" s="405">
        <f t="shared" si="1"/>
        <v>0</v>
      </c>
      <c r="O13" s="616"/>
      <c r="P13" s="620"/>
      <c r="Q13" s="621"/>
      <c r="R13" s="618"/>
      <c r="S13" s="619"/>
    </row>
    <row r="14" spans="1:19" ht="17.25" thickTop="1" thickBot="1">
      <c r="A14" s="491" t="str">
        <f t="shared" ca="1" si="0"/>
        <v>UFB-7 Personnel Costs</v>
      </c>
      <c r="B14" s="491">
        <f>ROW()</f>
        <v>14</v>
      </c>
      <c r="C14" s="491" t="str">
        <f>'Cover Page'!K6</f>
        <v>1402</v>
      </c>
      <c r="D14" s="491">
        <f>'Cover Page'!K4</f>
        <v>2019</v>
      </c>
      <c r="E14" s="491" t="s">
        <v>2031</v>
      </c>
      <c r="F14" s="491" t="s">
        <v>2161</v>
      </c>
      <c r="G14" s="491" t="s">
        <v>2168</v>
      </c>
      <c r="H14" s="505">
        <f>'Cover Page'!M38</f>
        <v>0</v>
      </c>
      <c r="J14" s="149" t="s">
        <v>175</v>
      </c>
      <c r="K14" s="151"/>
      <c r="L14" s="604">
        <f t="shared" ref="L14:S14" si="2">SUM(L8:L13)</f>
        <v>21</v>
      </c>
      <c r="M14" s="604">
        <f t="shared" si="2"/>
        <v>13</v>
      </c>
      <c r="N14" s="150">
        <f t="shared" si="2"/>
        <v>3252358.0471171495</v>
      </c>
      <c r="O14" s="622">
        <f t="shared" si="2"/>
        <v>2080929.4</v>
      </c>
      <c r="P14" s="623">
        <f t="shared" si="2"/>
        <v>265750.4031</v>
      </c>
      <c r="Q14" s="623">
        <f t="shared" si="2"/>
        <v>451404.93908000004</v>
      </c>
      <c r="R14" s="623">
        <f t="shared" si="2"/>
        <v>274752.29999999993</v>
      </c>
      <c r="S14" s="623">
        <f t="shared" si="2"/>
        <v>179521.00493714999</v>
      </c>
    </row>
    <row r="15" spans="1:19" ht="16.5" thickTop="1">
      <c r="A15" s="491" t="str">
        <f t="shared" ca="1" si="0"/>
        <v>UFB-7 Personnel Costs</v>
      </c>
      <c r="B15" s="491">
        <f>ROW()</f>
        <v>15</v>
      </c>
      <c r="C15" s="491" t="str">
        <f>'Cover Page'!K6</f>
        <v>1402</v>
      </c>
      <c r="D15" s="491">
        <f>'Cover Page'!K4</f>
        <v>2019</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1402</v>
      </c>
      <c r="D16" s="491">
        <f>'Cover Page'!K4</f>
        <v>2019</v>
      </c>
      <c r="E16" s="491" t="s">
        <v>2031</v>
      </c>
      <c r="F16" s="491" t="s">
        <v>2161</v>
      </c>
      <c r="G16" s="491" t="s">
        <v>2169</v>
      </c>
      <c r="H16" s="505">
        <f>'Cover Page'!M38</f>
        <v>0</v>
      </c>
      <c r="J16" s="153" t="s">
        <v>257</v>
      </c>
      <c r="K16" s="152"/>
      <c r="L16" s="152"/>
      <c r="M16" s="152"/>
      <c r="N16" s="152"/>
      <c r="Q16" s="270" t="s">
        <v>291</v>
      </c>
      <c r="S16" s="152"/>
    </row>
    <row r="17" spans="1:19" ht="15.75">
      <c r="A17" s="491" t="str">
        <f t="shared" ca="1" si="0"/>
        <v>UFB-7 Personnel Costs</v>
      </c>
      <c r="B17" s="491">
        <f>ROW()</f>
        <v>17</v>
      </c>
      <c r="C17" s="491" t="str">
        <f>'Cover Page'!K6</f>
        <v>1402</v>
      </c>
      <c r="D17" s="491">
        <f>'Cover Page'!K4</f>
        <v>2019</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1402</v>
      </c>
      <c r="D18" s="491">
        <f>'Cover Page'!K4</f>
        <v>2019</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1402</v>
      </c>
      <c r="D19" s="491">
        <f>'Cover Page'!K4</f>
        <v>2019</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31" t="s">
        <v>178</v>
      </c>
      <c r="K26" s="731"/>
      <c r="L26" s="731"/>
      <c r="M26" s="731"/>
      <c r="N26" s="731"/>
      <c r="O26" s="731"/>
      <c r="P26" s="731"/>
      <c r="Q26" s="731"/>
      <c r="R26" s="731"/>
      <c r="S26" s="731"/>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9Wlu3UDhkPyqficPMjim3Pn439PwHFaizgORDyR9bJzFV0c9DaFAga5Hafgl5hvwydhfdJa6biD2bGNe9G44/A==" saltValue="REVb4v0FG/zNfua4/RwUYg=="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Norman Eckstein</cp:lastModifiedBy>
  <cp:lastPrinted>2019-04-15T17:19:16Z</cp:lastPrinted>
  <dcterms:created xsi:type="dcterms:W3CDTF">2014-08-15T14:29:15Z</dcterms:created>
  <dcterms:modified xsi:type="dcterms:W3CDTF">2019-04-15T17:36:25Z</dcterms:modified>
</cp:coreProperties>
</file>